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filterPrivacy="1" autoCompressPictures="0"/>
  <xr:revisionPtr revIDLastSave="0" documentId="13_ncr:1_{AEDDE2C4-2AF3-3A47-B4F7-7A523421B2CB}" xr6:coauthVersionLast="47" xr6:coauthVersionMax="47" xr10:uidLastSave="{00000000-0000-0000-0000-000000000000}"/>
  <bookViews>
    <workbookView xWindow="0" yWindow="0" windowWidth="28800" windowHeight="18000" activeTab="1" xr2:uid="{00000000-000D-0000-FFFF-FFFF00000000}"/>
  </bookViews>
  <sheets>
    <sheet name="Inicio" sheetId="2" r:id="rId1"/>
    <sheet name="Calendario anual" sheetId="1" r:id="rId2"/>
  </sheets>
  <definedNames>
    <definedName name="AbrDom1">DATE(AñoCalendario,4,1)-WEEKDAY(DATE(AñoCalendario,4,1))+1</definedName>
    <definedName name="AgoDom1">DATE(AñoCalendario,8,1)-WEEKDAY(DATE(AñoCalendario,8,1))+1</definedName>
    <definedName name="AñoCalendario">'Calendario anual'!$C$1</definedName>
    <definedName name="_xlnm.Print_Area" localSheetId="1">'Calendario anual'!$B$1:$W$55</definedName>
    <definedName name="DicDom1">DATE(AñoCalendario,12,1)-WEEKDAY(DATE(AñoCalendario,12,1))+1</definedName>
    <definedName name="EneDom1">DATE(AñoCalendario,1,1)-WEEKDAY(DATE(AñoCalendario,1,1))+1</definedName>
    <definedName name="FebDom1">DATE(AñoCalendario,2,1)-WEEKDAY(DATE(AñoCalendario,2,1))+1</definedName>
    <definedName name="JulDom1">DATE(AñoCalendario,7,1)-WEEKDAY(DATE(AñoCalendario,7,1))+1</definedName>
    <definedName name="JunDom1">DATE(AñoCalendario,6,1)-WEEKDAY(DATE(AñoCalendario,6,1))+1</definedName>
    <definedName name="MarDom1">DATE(AñoCalendario,3,1)-WEEKDAY(DATE(AñoCalendario,3,1))+1</definedName>
    <definedName name="MayDom1">DATE(AñoCalendario,5,1)-WEEKDAY(DATE(AñoCalendario,5,1))+1</definedName>
    <definedName name="NovDom1">DATE(AñoCalendario,11,1)-WEEKDAY(DATE(AñoCalendario,11,1))+1</definedName>
    <definedName name="OctDom1">DATE(AñoCalendario,10,1)-WEEKDAY(DATE(AñoCalendario,10,1))+1</definedName>
    <definedName name="SepDom1">DATE(AñoCalendario,9,1)-WEEKDAY(DATE(AñoCalendario,9,1))+1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52" i="1" l="1"/>
  <c r="G7" i="1"/>
  <c r="Q55" i="1" l="1"/>
  <c r="P55" i="1"/>
  <c r="O55" i="1"/>
  <c r="N55" i="1"/>
  <c r="M55" i="1"/>
  <c r="L55" i="1"/>
  <c r="K55" i="1"/>
  <c r="Q54" i="1"/>
  <c r="P54" i="1"/>
  <c r="O54" i="1"/>
  <c r="N54" i="1"/>
  <c r="M54" i="1"/>
  <c r="L54" i="1"/>
  <c r="K54" i="1"/>
  <c r="Q53" i="1"/>
  <c r="P53" i="1"/>
  <c r="O53" i="1"/>
  <c r="N53" i="1"/>
  <c r="M53" i="1"/>
  <c r="L53" i="1"/>
  <c r="K53" i="1"/>
  <c r="Q52" i="1"/>
  <c r="P52" i="1"/>
  <c r="O52" i="1"/>
  <c r="N52" i="1"/>
  <c r="M52" i="1"/>
  <c r="K52" i="1"/>
  <c r="Q51" i="1"/>
  <c r="P51" i="1"/>
  <c r="O51" i="1"/>
  <c r="N51" i="1"/>
  <c r="M51" i="1"/>
  <c r="L51" i="1"/>
  <c r="K51" i="1"/>
  <c r="Q50" i="1"/>
  <c r="P50" i="1"/>
  <c r="O50" i="1"/>
  <c r="N50" i="1"/>
  <c r="M50" i="1"/>
  <c r="L50" i="1"/>
  <c r="K50"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D51" i="1"/>
  <c r="C51" i="1"/>
  <c r="I50" i="1"/>
  <c r="H50" i="1"/>
  <c r="G50" i="1"/>
  <c r="F50" i="1"/>
  <c r="E50" i="1"/>
  <c r="D50" i="1"/>
  <c r="C50"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I46" i="1"/>
  <c r="H46" i="1"/>
  <c r="G46" i="1"/>
  <c r="F46" i="1"/>
  <c r="E46" i="1"/>
  <c r="D46" i="1"/>
  <c r="C46" i="1"/>
  <c r="I45" i="1"/>
  <c r="H45" i="1"/>
  <c r="G45" i="1"/>
  <c r="F45" i="1"/>
  <c r="E45" i="1"/>
  <c r="D45" i="1"/>
  <c r="C45" i="1"/>
  <c r="I44" i="1"/>
  <c r="H44" i="1"/>
  <c r="G44" i="1"/>
  <c r="F44" i="1"/>
  <c r="E44" i="1"/>
  <c r="D44" i="1"/>
  <c r="C44" i="1"/>
  <c r="I43" i="1"/>
  <c r="H43" i="1"/>
  <c r="G43" i="1"/>
  <c r="F43" i="1"/>
  <c r="E43" i="1"/>
  <c r="D43" i="1"/>
  <c r="C43" i="1"/>
  <c r="I42" i="1"/>
  <c r="H42" i="1"/>
  <c r="G42" i="1"/>
  <c r="F42" i="1"/>
  <c r="E42" i="1"/>
  <c r="D42" i="1"/>
  <c r="C42" i="1"/>
  <c r="I41" i="1"/>
  <c r="H41" i="1"/>
  <c r="G41" i="1"/>
  <c r="F41" i="1"/>
  <c r="E41" i="1"/>
  <c r="D41" i="1"/>
  <c r="C41"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I37" i="1"/>
  <c r="H37" i="1"/>
  <c r="G37" i="1"/>
  <c r="F37" i="1"/>
  <c r="E37" i="1"/>
  <c r="D37" i="1"/>
  <c r="C37" i="1"/>
  <c r="I36" i="1"/>
  <c r="H36" i="1"/>
  <c r="G36" i="1"/>
  <c r="F36" i="1"/>
  <c r="E36" i="1"/>
  <c r="D36" i="1"/>
  <c r="C36"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Q24" i="1"/>
  <c r="P24" i="1"/>
  <c r="O24" i="1"/>
  <c r="N24" i="1"/>
  <c r="M24" i="1"/>
  <c r="L24" i="1"/>
  <c r="K24" i="1"/>
  <c r="Q23" i="1"/>
  <c r="P23" i="1"/>
  <c r="O23" i="1"/>
  <c r="N23" i="1"/>
  <c r="M23" i="1"/>
  <c r="L23" i="1"/>
  <c r="K23"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4" i="1"/>
  <c r="H24" i="1"/>
  <c r="G24" i="1"/>
  <c r="F24" i="1"/>
  <c r="E24" i="1"/>
  <c r="D24" i="1"/>
  <c r="C24" i="1"/>
  <c r="I23" i="1"/>
  <c r="H23" i="1"/>
  <c r="G23" i="1"/>
  <c r="F23" i="1"/>
  <c r="E23" i="1"/>
  <c r="D23" i="1"/>
  <c r="C23"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5" i="1"/>
  <c r="P15" i="1"/>
  <c r="O15" i="1"/>
  <c r="N15" i="1"/>
  <c r="M15" i="1"/>
  <c r="L15" i="1"/>
  <c r="K15" i="1"/>
  <c r="Q14" i="1"/>
  <c r="P14" i="1"/>
  <c r="O14" i="1"/>
  <c r="N14" i="1"/>
  <c r="M14" i="1"/>
  <c r="L14" i="1"/>
  <c r="K14"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I15" i="1"/>
  <c r="H15" i="1"/>
  <c r="G15" i="1"/>
  <c r="F15" i="1"/>
  <c r="E15" i="1"/>
  <c r="D15" i="1"/>
  <c r="C15" i="1"/>
  <c r="I14" i="1"/>
  <c r="H14" i="1"/>
  <c r="G14" i="1"/>
  <c r="F14" i="1"/>
  <c r="E14" i="1"/>
  <c r="D14" i="1"/>
  <c r="C14" i="1"/>
  <c r="Q10" i="1"/>
  <c r="P10" i="1"/>
  <c r="O10" i="1"/>
  <c r="N10" i="1"/>
  <c r="M10" i="1"/>
  <c r="L10" i="1"/>
  <c r="K10" i="1"/>
  <c r="Q9" i="1"/>
  <c r="P9" i="1"/>
  <c r="O9" i="1"/>
  <c r="N9" i="1"/>
  <c r="M9" i="1"/>
  <c r="L9" i="1"/>
  <c r="K9" i="1"/>
  <c r="Q8" i="1"/>
  <c r="P8" i="1"/>
  <c r="O8" i="1"/>
  <c r="N8" i="1"/>
  <c r="M8" i="1"/>
  <c r="L8" i="1"/>
  <c r="K8" i="1"/>
  <c r="Q7" i="1"/>
  <c r="P7" i="1"/>
  <c r="O7" i="1"/>
  <c r="N7" i="1"/>
  <c r="M7" i="1"/>
  <c r="L7" i="1"/>
  <c r="K7" i="1"/>
  <c r="Q6" i="1"/>
  <c r="P6" i="1"/>
  <c r="O6" i="1"/>
  <c r="N6" i="1"/>
  <c r="M6" i="1"/>
  <c r="L6" i="1"/>
  <c r="K6" i="1"/>
  <c r="Q5" i="1"/>
  <c r="P5" i="1"/>
  <c r="O5" i="1"/>
  <c r="N5" i="1"/>
  <c r="M5" i="1"/>
  <c r="L5" i="1"/>
  <c r="K5" i="1"/>
  <c r="I10" i="1"/>
  <c r="H10" i="1"/>
  <c r="G10" i="1"/>
  <c r="F10" i="1"/>
  <c r="E10" i="1"/>
  <c r="D10" i="1"/>
  <c r="C10" i="1"/>
  <c r="I9" i="1"/>
  <c r="H9" i="1"/>
  <c r="G9" i="1"/>
  <c r="F9" i="1"/>
  <c r="E9" i="1"/>
  <c r="D9" i="1"/>
  <c r="C9" i="1"/>
  <c r="I8" i="1"/>
  <c r="H8" i="1"/>
  <c r="G8" i="1"/>
  <c r="F8" i="1"/>
  <c r="E8" i="1"/>
  <c r="D8" i="1"/>
  <c r="C8" i="1"/>
  <c r="I7" i="1"/>
  <c r="H7" i="1"/>
  <c r="F7" i="1"/>
  <c r="E7" i="1"/>
  <c r="D7" i="1"/>
  <c r="C7" i="1"/>
  <c r="I6" i="1"/>
  <c r="H6" i="1"/>
  <c r="G6" i="1"/>
  <c r="F6" i="1"/>
  <c r="E6" i="1"/>
  <c r="D6" i="1"/>
  <c r="C6" i="1"/>
  <c r="I5" i="1"/>
  <c r="H5" i="1"/>
  <c r="G5" i="1"/>
  <c r="F5" i="1"/>
  <c r="E5" i="1"/>
  <c r="D5" i="1"/>
  <c r="C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tc={8D3949EC-FF2D-4449-BDFD-9868848A8275}</author>
    <author>tc={F9DCC201-42CB-1F46-8CCC-B5D86A866287}</author>
  </authors>
  <commentList>
    <comment ref="D17" authorId="0" shapeId="0" xr:uid="{8D3949EC-FF2D-4449-BDFD-9868848A8275}">
      <text>
        <t>[Comentario encadenado]
Tu versión de Excel te permite leer este comentario encadenado; sin embargo, las ediciones que se apliquen se quitarán si el archivo se abre en una versión más reciente de Excel. Más información: https://go.microsoft.com/fwlink/?linkid=870924
Comentario:
    Consejo Superior tentativo en Valledupar</t>
      </text>
    </comment>
    <comment ref="L45" authorId="1" shapeId="0" xr:uid="{F9DCC201-42CB-1F46-8CCC-B5D86A866287}">
      <text>
        <t>[Comentario encadenado]
Tu versión de Excel te permite leer este comentario encadenado; sin embargo, las ediciones que se apliquen se quitarán si el archivo se abre en una versión más reciente de Excel. Más información: https://go.microsoft.com/fwlink/?linkid=870924
Comentario:
    Tentativo en Valledupar.</t>
      </text>
    </comment>
  </commentList>
</comments>
</file>

<file path=xl/sharedStrings.xml><?xml version="1.0" encoding="utf-8"?>
<sst xmlns="http://schemas.openxmlformats.org/spreadsheetml/2006/main" count="133" uniqueCount="56">
  <si>
    <t>INFORMACIÓN SOBRE ESTA PLANTILLA</t>
  </si>
  <si>
    <t>Usa esta plantilla para crear un calendario personal para pequeñas empresas de cualquier año.</t>
  </si>
  <si>
    <t>Rellena el nombre de la compañía y detalles de contacto y agrega el logotipo de la compañía.</t>
  </si>
  <si>
    <t>Selecciona el año y escribe fechas y ocasiones importantes.</t>
  </si>
  <si>
    <t>Nota: </t>
  </si>
  <si>
    <t xml:space="preserve">Se facilitaron instrucciones adicionales en la columna A de la hoja de cálculo CALENDARIO ANUAL. Este texto se ocultó a propósito. Para eliminar el texto, selecciona la columna A y, a continuación, ELIMINAR. </t>
  </si>
  <si>
    <t>Para obtener más información sobre las tablas, presiona las teclas MAYÚS y F10 dentro de una tabla, selecciona la opción TABLA y, a continuación, TEXTO ALTERNATIVO.</t>
  </si>
  <si>
    <t>La etiqueta de mayo está en la celda C21 y la de junio en la celda K21</t>
  </si>
  <si>
    <t>ENERO</t>
  </si>
  <si>
    <t>MARZO</t>
  </si>
  <si>
    <t>MAYO</t>
  </si>
  <si>
    <t>JULIO</t>
  </si>
  <si>
    <t>SEPTIEMBRE</t>
  </si>
  <si>
    <t>NOVIEMBRE</t>
  </si>
  <si>
    <t>MAR</t>
  </si>
  <si>
    <t>MIÉ</t>
  </si>
  <si>
    <t>JUE</t>
  </si>
  <si>
    <t>VIE</t>
  </si>
  <si>
    <t>SÁB</t>
  </si>
  <si>
    <t>DOM</t>
  </si>
  <si>
    <t>FEBRERO</t>
  </si>
  <si>
    <t>ABRIL</t>
  </si>
  <si>
    <t>JUNIO</t>
  </si>
  <si>
    <t>AGOSTO</t>
  </si>
  <si>
    <t>OCTUBRE</t>
  </si>
  <si>
    <t>DICIEMBRE</t>
  </si>
  <si>
    <t>FECHAS IMPORTANTES</t>
  </si>
  <si>
    <t>LUN</t>
  </si>
  <si>
    <t>Crea un calendario para pequeñas empresas para cualquier año en esta hoja de cálculo Encontrarás instrucciones útiles sobre cómo usar esta hoja de cálculo en las celdas de esta columna Selecciona el indicador giratorio en la celda de la derecha para cambiar el año en la celda C1 La etiqueta de fechas importantes está en la celda U1</t>
  </si>
  <si>
    <t>La sugerencia está en la celda de la derecha</t>
  </si>
  <si>
    <t>Utiliza el indicador giratorio para cambiar el año calendario</t>
  </si>
  <si>
    <t>El calendario del año seleccionado está en las celdas C3 a Q55, el calendario de enero en las celdas C4 a I10 y el calendario de febrero en las celdas K4 a Q10 La etiqueta de enero está en la celda C3 y la de febrero en la celda K3 Escribe las fechas y ocasiones importantes en las celdas U3 a U42</t>
  </si>
  <si>
    <t>La tabla del calendario de enero está en las celdas C4 a I10 y la tabla del calendario de febrero en las celdas K4 a Q10 La siguiente instrucción está en la celda A12</t>
  </si>
  <si>
    <t>La etiqueta de marzo está en la celda C12 y la de abril en la celda K12</t>
  </si>
  <si>
    <t>La tabla del calendario de marzo está en las celdas C13 a I19 y la tabla del calendario de abril en las celdas K13 a Q19 La siguiente instrucción está en la celda A21</t>
  </si>
  <si>
    <t>La tabla del calendario de mayo está en las celdas C22 a I28 y la tabla del calendario de junio en las celdas K22 a Q28 La siguiente instrucción está en la celda A30</t>
  </si>
  <si>
    <t>La etiqueta de julio está en la celda C30 y la de agosto en la celda K30</t>
  </si>
  <si>
    <t>La tabla del calendario de julio está en las celdas C31 a I37 y la tabla del calendario de agosto en las celdas K31 a Q37 La siguiente instrucción está en la celda A39</t>
  </si>
  <si>
    <t>La etiqueta de septiembre está en la celda C39 y la de octubre en la celda K39</t>
  </si>
  <si>
    <t>La tabla del calendario de septiembre está en las celdas C40 a I46 y la del calendario de octubre en las celdas K40 a Q46 La siguiente instrucción está en la celda A44</t>
  </si>
  <si>
    <t>Escribe la dirección postal en la celda U44</t>
  </si>
  <si>
    <t>Escribe la ciudad, el estado y el código postal en la celda dU45 La siguiente instrucción está en la celda A47</t>
  </si>
  <si>
    <t>Escribe el número de teléfono de la compañía en la celda U47</t>
  </si>
  <si>
    <t>La etiqueta de noviembre está en la celda C48 y la de diciembre en la celda K48 Escribe la dirección de correo en la celda U48</t>
  </si>
  <si>
    <t>La tabla del calendario de noviembre está en las celdas C49 a I55 y la del calendario de diciembre en las celdas K49 a Q55 La siguiente instrucción está en la celda A51</t>
  </si>
  <si>
    <t>Agrega el logotipo de la compañía en la celda U51</t>
  </si>
  <si>
    <t>FESTIVOS EN COLOMBIA</t>
  </si>
  <si>
    <t>CONSEJO SUPERIOR AREANDINA</t>
  </si>
  <si>
    <t>CONSEJO ACADÉMICO AREANDINA</t>
  </si>
  <si>
    <t>ENTREGA DE INFORMACIÓN A SECRETARÍA GENERAL PARA CONSEJO SUPERIOR</t>
  </si>
  <si>
    <t>CONSEJO DIRECTIVO PEREIRA</t>
  </si>
  <si>
    <t>CONSEJO VALLEDUPAR (MARZO, JULIO Y OCTUBRE) - CONSEJO SUPERIOR</t>
  </si>
  <si>
    <t>(Último martes de cada mes a excepción de marzo y diciembre)</t>
  </si>
  <si>
    <t>(Segundo martes de cada mes a excepción de diciembre)</t>
  </si>
  <si>
    <t>ASAMBLEA GENERAL DE AREANDINA</t>
  </si>
  <si>
    <t>(Marzo)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</si>
</sst>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0.00_);_(* \(#,##0.00\);_(* &quot;-&quot;??_);_(@_)"/>
    <numFmt numFmtId="166" formatCode=";;;"/>
    <numFmt numFmtId="167" formatCode="_-* #,##0.00\ &quot;€&quot;_-;\-* #,##0.00\ &quot;€&quot;_-;_-* &quot;-&quot;??\ &quot;€&quot;_-;_-@_-"/>
    <numFmt numFmtId="168" formatCode="_-* #,##0\ &quot;€&quot;_-;\-* #,##0\ &quot;€&quot;_-;_-* &quot;-&quot;\ &quot;€&quot;_-;_-@_-"/>
    <numFmt numFmtId="169" formatCode="d"/>
  </numFmts>
  <fonts count="40" x14ac:knownFonts="1">
    <font>
      <sz val="8"/>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2"/>
      <color theme="1"/>
      <name val="Calibri"/>
      <family val="2"/>
      <scheme val="major"/>
    </font>
    <font>
      <b/>
      <sz val="26"/>
      <color theme="0"/>
      <name val="Calibri"/>
      <family val="2"/>
      <scheme val="major"/>
    </font>
    <font>
      <sz val="8"/>
      <color theme="0"/>
      <name val="Calibri"/>
      <family val="2"/>
      <scheme val="minor"/>
    </font>
    <font>
      <b/>
      <sz val="13.5"/>
      <color theme="0"/>
      <name val="Calibri"/>
      <family val="2"/>
      <scheme val="major"/>
    </font>
    <font>
      <sz val="9"/>
      <color theme="1"/>
      <name val="Calibri"/>
      <family val="2"/>
      <scheme val="minor"/>
    </font>
    <font>
      <sz val="9"/>
      <color theme="8"/>
      <name val="Calibri"/>
      <family val="2"/>
      <scheme val="minor"/>
    </font>
    <font>
      <sz val="8"/>
      <color theme="8"/>
      <name val="Calibri"/>
      <family val="2"/>
      <scheme val="minor"/>
    </font>
    <font>
      <sz val="9"/>
      <color theme="1" tint="0.14999847407452621"/>
      <name val="Calibri"/>
      <family val="2"/>
      <scheme val="minor"/>
    </font>
    <font>
      <i/>
      <sz val="10"/>
      <color theme="8" tint="-0.499984740745262"/>
      <name val="Calibri"/>
      <family val="2"/>
      <scheme val="minor"/>
    </font>
    <font>
      <b/>
      <sz val="9.5"/>
      <color theme="8" tint="-0.499984740745262"/>
      <name val="Calibri"/>
      <family val="2"/>
      <scheme val="major"/>
    </font>
    <font>
      <sz val="9"/>
      <color theme="8" tint="-0.499984740745262"/>
      <name val="Calibri"/>
      <family val="2"/>
      <scheme val="minor"/>
    </font>
    <font>
      <b/>
      <sz val="8"/>
      <color theme="1" tint="0.34998626667073579"/>
      <name val="Calibri"/>
      <family val="2"/>
      <scheme val="minor"/>
    </font>
    <font>
      <b/>
      <sz val="13"/>
      <color theme="3"/>
      <name val="Calibri"/>
      <family val="2"/>
      <scheme val="minor"/>
    </font>
    <font>
      <b/>
      <sz val="11"/>
      <color theme="1"/>
      <name val="Calibri"/>
      <family val="2"/>
      <scheme val="minor"/>
    </font>
    <font>
      <b/>
      <sz val="16"/>
      <color theme="0"/>
      <name val="Calibri"/>
      <family val="2"/>
      <scheme val="major"/>
    </font>
    <font>
      <sz val="8"/>
      <color theme="1"/>
      <name val="Calibri"/>
      <family val="2"/>
      <scheme val="minor"/>
    </font>
    <font>
      <sz val="18"/>
      <color theme="3"/>
      <name val="Calibri"/>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8"/>
      <name val="Calibri"/>
      <family val="2"/>
      <scheme val="minor"/>
    </font>
    <font>
      <b/>
      <sz val="9"/>
      <color theme="1" tint="0.14999847407452621"/>
      <name val="Calibri"/>
      <family val="2"/>
      <scheme val="minor"/>
    </font>
    <font>
      <b/>
      <sz val="8"/>
      <color theme="1"/>
      <name val="Calibri"/>
      <family val="2"/>
      <scheme val="minor"/>
    </font>
  </fonts>
  <fills count="44">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rgb="FF92D050"/>
        <bgColor indexed="64"/>
      </patternFill>
    </fill>
    <fill>
      <patternFill patternType="solid">
        <fgColor theme="8" tint="0.39997558519241921"/>
        <bgColor indexed="64"/>
      </patternFill>
    </fill>
    <fill>
      <patternFill patternType="solid">
        <fgColor rgb="FFFFFF00"/>
        <bgColor indexed="64"/>
      </patternFill>
    </fill>
    <fill>
      <patternFill patternType="lightVertical">
        <fgColor rgb="FFFFC000"/>
        <bgColor rgb="FF92D050"/>
      </patternFill>
    </fill>
    <fill>
      <patternFill patternType="solid">
        <fgColor rgb="FF00B0F0"/>
        <bgColor indexed="64"/>
      </patternFill>
    </fill>
    <fill>
      <patternFill patternType="solid">
        <fgColor theme="0"/>
        <bgColor indexed="64"/>
      </patternFill>
    </fill>
    <fill>
      <patternFill patternType="solid">
        <fgColor rgb="FF7030A0"/>
        <bgColor indexed="64"/>
      </patternFill>
    </fill>
    <fill>
      <patternFill patternType="solid">
        <fgColor theme="3" tint="0.59999389629810485"/>
        <bgColor indexed="64"/>
      </patternFill>
    </fill>
  </fills>
  <borders count="11">
    <border>
      <left/>
      <right/>
      <top/>
      <bottom/>
      <diagonal/>
    </border>
    <border>
      <left/>
      <right/>
      <top style="thin">
        <color theme="8"/>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9" fillId="0" borderId="2" applyNumberFormat="0" applyFill="0" applyAlignment="0" applyProtection="0"/>
    <xf numFmtId="165" fontId="22" fillId="0" borderId="0" applyFont="0" applyFill="0" applyBorder="0" applyAlignment="0" applyProtection="0"/>
    <xf numFmtId="164" fontId="22"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5" applyNumberFormat="0" applyAlignment="0" applyProtection="0"/>
    <xf numFmtId="0" fontId="30" fillId="8" borderId="6" applyNumberFormat="0" applyAlignment="0" applyProtection="0"/>
    <xf numFmtId="0" fontId="31" fillId="8" borderId="5" applyNumberFormat="0" applyAlignment="0" applyProtection="0"/>
    <xf numFmtId="0" fontId="32" fillId="0" borderId="7" applyNumberFormat="0" applyFill="0" applyAlignment="0" applyProtection="0"/>
    <xf numFmtId="0" fontId="33" fillId="9" borderId="8" applyNumberFormat="0" applyAlignment="0" applyProtection="0"/>
    <xf numFmtId="0" fontId="34" fillId="0" borderId="0" applyNumberFormat="0" applyFill="0" applyBorder="0" applyAlignment="0" applyProtection="0"/>
    <xf numFmtId="0" fontId="22" fillId="10" borderId="9" applyNumberFormat="0" applyFont="0" applyAlignment="0" applyProtection="0"/>
    <xf numFmtId="0" fontId="35" fillId="0" borderId="0" applyNumberFormat="0" applyFill="0" applyBorder="0" applyAlignment="0" applyProtection="0"/>
    <xf numFmtId="0" fontId="20" fillId="0" borderId="10" applyNumberFormat="0" applyFill="0" applyAlignment="0" applyProtection="0"/>
    <xf numFmtId="0" fontId="3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55">
    <xf numFmtId="0" fontId="0" fillId="0" borderId="0" xfId="0"/>
    <xf numFmtId="0" fontId="0" fillId="0" borderId="0" xfId="0" applyAlignment="1">
      <alignment horizontal="center"/>
    </xf>
    <xf numFmtId="0" fontId="7" fillId="0" borderId="0" xfId="0" applyFont="1"/>
    <xf numFmtId="0" fontId="0" fillId="2" borderId="0" xfId="0" applyFill="1"/>
    <xf numFmtId="49" fontId="0" fillId="0" borderId="0" xfId="0" applyNumberFormat="1"/>
    <xf numFmtId="49" fontId="12" fillId="0" borderId="0" xfId="0" applyNumberFormat="1" applyFont="1"/>
    <xf numFmtId="49" fontId="0" fillId="0" borderId="0" xfId="0" applyNumberFormat="1" applyAlignment="1">
      <alignment horizontal="left"/>
    </xf>
    <xf numFmtId="49" fontId="13" fillId="0" borderId="0" xfId="0" applyNumberFormat="1" applyFont="1" applyAlignment="1">
      <alignment horizontal="left"/>
    </xf>
    <xf numFmtId="0" fontId="11" fillId="0" borderId="0" xfId="0" applyFont="1"/>
    <xf numFmtId="49" fontId="14" fillId="0" borderId="0" xfId="0" applyNumberFormat="1" applyFont="1" applyAlignment="1">
      <alignment horizontal="left"/>
    </xf>
    <xf numFmtId="0" fontId="0" fillId="3" borderId="0" xfId="0" applyFill="1"/>
    <xf numFmtId="0" fontId="8" fillId="3" borderId="0" xfId="0" applyFont="1" applyFill="1" applyAlignment="1">
      <alignment vertical="center"/>
    </xf>
    <xf numFmtId="0" fontId="9" fillId="3" borderId="0" xfId="0" applyFont="1" applyFill="1"/>
    <xf numFmtId="0" fontId="10" fillId="3" borderId="0" xfId="0" applyFont="1" applyFill="1" applyAlignment="1">
      <alignment vertical="center"/>
    </xf>
    <xf numFmtId="49" fontId="17" fillId="0" borderId="1" xfId="0" applyNumberFormat="1" applyFont="1" applyBorder="1"/>
    <xf numFmtId="49" fontId="17" fillId="0" borderId="0" xfId="0" applyNumberFormat="1" applyFont="1"/>
    <xf numFmtId="0" fontId="18" fillId="0" borderId="0" xfId="0" applyFont="1" applyAlignment="1">
      <alignment horizontal="center"/>
    </xf>
    <xf numFmtId="0" fontId="5" fillId="0" borderId="0" xfId="0" applyFont="1" applyAlignment="1">
      <alignment vertical="center" wrapText="1"/>
    </xf>
    <xf numFmtId="0" fontId="21" fillId="3" borderId="0" xfId="1" applyFont="1" applyFill="1" applyBorder="1" applyAlignment="1">
      <alignment horizontal="center" vertical="center"/>
    </xf>
    <xf numFmtId="0" fontId="4" fillId="0" borderId="0" xfId="0" applyFont="1" applyAlignment="1">
      <alignment vertical="center" wrapText="1"/>
    </xf>
    <xf numFmtId="0" fontId="20" fillId="0" borderId="0" xfId="0" applyFont="1" applyAlignment="1">
      <alignment wrapText="1"/>
    </xf>
    <xf numFmtId="0" fontId="0" fillId="0" borderId="0" xfId="0" applyAlignment="1">
      <alignment vertical="center"/>
    </xf>
    <xf numFmtId="166" fontId="0" fillId="0" borderId="0" xfId="0" applyNumberFormat="1" applyAlignment="1">
      <alignment wrapText="1"/>
    </xf>
    <xf numFmtId="166" fontId="3" fillId="0" borderId="0" xfId="0" applyNumberFormat="1" applyFont="1" applyAlignment="1">
      <alignment vertical="center"/>
    </xf>
    <xf numFmtId="166" fontId="0" fillId="0" borderId="0" xfId="0" applyNumberFormat="1"/>
    <xf numFmtId="0" fontId="2" fillId="0" borderId="0" xfId="0" applyFont="1" applyAlignment="1">
      <alignment vertical="center" wrapText="1"/>
    </xf>
    <xf numFmtId="14" fontId="0" fillId="2" borderId="0" xfId="0" applyNumberFormat="1" applyFill="1"/>
    <xf numFmtId="14" fontId="0" fillId="0" borderId="0" xfId="0" applyNumberFormat="1"/>
    <xf numFmtId="169" fontId="0" fillId="0" borderId="0" xfId="0" applyNumberFormat="1" applyAlignment="1">
      <alignment horizontal="center"/>
    </xf>
    <xf numFmtId="169" fontId="0" fillId="35" borderId="0" xfId="0" applyNumberFormat="1" applyFill="1" applyAlignment="1">
      <alignment horizontal="center"/>
    </xf>
    <xf numFmtId="169" fontId="0" fillId="36" borderId="0" xfId="0" applyNumberFormat="1" applyFill="1" applyAlignment="1">
      <alignment horizontal="center"/>
    </xf>
    <xf numFmtId="169" fontId="0" fillId="37" borderId="0" xfId="0" applyNumberFormat="1" applyFill="1" applyAlignment="1">
      <alignment horizontal="center"/>
    </xf>
    <xf numFmtId="169" fontId="0" fillId="38" borderId="0" xfId="0" applyNumberFormat="1" applyFill="1" applyAlignment="1">
      <alignment horizontal="center"/>
    </xf>
    <xf numFmtId="49" fontId="37" fillId="35" borderId="0" xfId="0" applyNumberFormat="1" applyFont="1" applyFill="1" applyAlignment="1">
      <alignment horizontal="left"/>
    </xf>
    <xf numFmtId="49" fontId="39" fillId="36" borderId="0" xfId="0" applyNumberFormat="1" applyFont="1" applyFill="1" applyAlignment="1">
      <alignment horizontal="left"/>
    </xf>
    <xf numFmtId="0" fontId="39" fillId="37" borderId="0" xfId="0" applyFont="1" applyFill="1"/>
    <xf numFmtId="0" fontId="39" fillId="0" borderId="0" xfId="0" applyFont="1"/>
    <xf numFmtId="49" fontId="39" fillId="0" borderId="0" xfId="0" applyNumberFormat="1" applyFont="1" applyAlignment="1">
      <alignment horizontal="left"/>
    </xf>
    <xf numFmtId="49" fontId="38" fillId="38" borderId="0" xfId="0" applyNumberFormat="1" applyFont="1" applyFill="1" applyAlignment="1">
      <alignment horizontal="left"/>
    </xf>
    <xf numFmtId="49" fontId="37" fillId="0" borderId="0" xfId="0" applyNumberFormat="1" applyFont="1" applyAlignment="1">
      <alignment horizontal="left"/>
    </xf>
    <xf numFmtId="169" fontId="0" fillId="39" borderId="0" xfId="0" applyNumberFormat="1" applyFill="1" applyAlignment="1">
      <alignment horizontal="center"/>
    </xf>
    <xf numFmtId="0" fontId="39" fillId="40" borderId="0" xfId="0" applyFont="1" applyFill="1"/>
    <xf numFmtId="169" fontId="0" fillId="40" borderId="0" xfId="0" applyNumberFormat="1" applyFill="1" applyAlignment="1">
      <alignment horizontal="center"/>
    </xf>
    <xf numFmtId="169" fontId="0" fillId="41" borderId="0" xfId="0" applyNumberFormat="1" applyFill="1" applyAlignment="1">
      <alignment horizontal="center"/>
    </xf>
    <xf numFmtId="169" fontId="0" fillId="42" borderId="0" xfId="0" applyNumberFormat="1" applyFill="1" applyAlignment="1">
      <alignment horizontal="center"/>
    </xf>
    <xf numFmtId="0" fontId="39" fillId="42" borderId="0" xfId="0" applyFont="1" applyFill="1"/>
    <xf numFmtId="0" fontId="39" fillId="43" borderId="0" xfId="0" applyFont="1" applyFill="1"/>
    <xf numFmtId="0" fontId="8" fillId="3" borderId="0" xfId="0" applyFont="1" applyFill="1" applyAlignment="1">
      <alignment horizontal="left" vertical="center"/>
    </xf>
    <xf numFmtId="0" fontId="15" fillId="0" borderId="0" xfId="0" applyFont="1" applyAlignment="1">
      <alignment horizontal="left" vertical="center" indent="2"/>
    </xf>
    <xf numFmtId="0" fontId="16" fillId="0" borderId="0" xfId="0" applyFont="1" applyAlignment="1">
      <alignment horizontal="left"/>
    </xf>
    <xf numFmtId="0" fontId="16" fillId="0" borderId="0" xfId="0" applyFont="1"/>
    <xf numFmtId="166" fontId="0" fillId="0" borderId="0" xfId="0" applyNumberFormat="1" applyAlignment="1">
      <alignment horizontal="center"/>
    </xf>
    <xf numFmtId="0" fontId="0" fillId="0" borderId="0" xfId="0" applyAlignment="1">
      <alignment horizontal="center"/>
    </xf>
    <xf numFmtId="0" fontId="39" fillId="0" borderId="0" xfId="0" applyFont="1" applyAlignment="1">
      <alignment horizontal="left" vertical="top" wrapText="1"/>
    </xf>
    <xf numFmtId="169" fontId="0" fillId="0" borderId="0" xfId="0" applyNumberFormat="1" applyFill="1" applyAlignment="1">
      <alignment horizontal="center"/>
    </xf>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1" builtinId="26" customBuiltin="1"/>
    <cellStyle name="Cálculo" xfId="16" builtinId="22" customBuiltin="1"/>
    <cellStyle name="Celda de comprobación" xfId="18" builtinId="23" customBuiltin="1"/>
    <cellStyle name="Celda vinculada" xfId="17" builtinId="24" customBuiltin="1"/>
    <cellStyle name="Encabezado 1" xfId="8" builtinId="16" customBuiltin="1"/>
    <cellStyle name="Encabezado 4" xfId="10"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4" builtinId="20" customBuiltin="1"/>
    <cellStyle name="Incorrecto" xfId="12" builtinId="27" customBuiltin="1"/>
    <cellStyle name="Millares" xfId="2" builtinId="3" customBuiltin="1"/>
    <cellStyle name="Millares [0]" xfId="3" builtinId="6" customBuiltin="1"/>
    <cellStyle name="Moneda" xfId="4" builtinId="4" customBuiltin="1"/>
    <cellStyle name="Moneda [0]" xfId="5" builtinId="7" customBuiltin="1"/>
    <cellStyle name="Neutral" xfId="13" builtinId="28" customBuiltin="1"/>
    <cellStyle name="Normal" xfId="0" builtinId="0" customBuiltin="1"/>
    <cellStyle name="Notas" xfId="20" builtinId="10" customBuiltin="1"/>
    <cellStyle name="Porcentaje" xfId="6" builtinId="5" customBuiltin="1"/>
    <cellStyle name="Salida" xfId="15" builtinId="21" customBuiltin="1"/>
    <cellStyle name="Texto de advertencia" xfId="19" builtinId="11" customBuiltin="1"/>
    <cellStyle name="Texto explicativo" xfId="21" builtinId="53" customBuiltin="1"/>
    <cellStyle name="Título" xfId="7" builtinId="15" customBuiltin="1"/>
    <cellStyle name="Título 2" xfId="1" builtinId="17" customBuiltin="1"/>
    <cellStyle name="Título 3" xfId="9" builtinId="18" customBuiltin="1"/>
    <cellStyle name="Total" xfId="22" builtinId="25" customBuiltin="1"/>
  </cellStyles>
  <dxfs count="108">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Spin" dx="16" fmlaLink="$C$1" max="2999" min="1900" page="10" val="2024"/>
</file>

<file path=xl/drawings/_rels/drawing1.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21</xdr:col>
      <xdr:colOff>142875</xdr:colOff>
      <xdr:row>2</xdr:row>
      <xdr:rowOff>114299</xdr:rowOff>
    </xdr:from>
    <xdr:to>
      <xdr:col>23</xdr:col>
      <xdr:colOff>1162</xdr:colOff>
      <xdr:row>47</xdr:row>
      <xdr:rowOff>66674</xdr:rowOff>
    </xdr:to>
    <xdr:pic>
      <xdr:nvPicPr>
        <xdr:cNvPr id="2" name="Hojas" descr="Seis hojas ubicadas de a pares y solas a distintas distancias.">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duotone>
            <a:schemeClr val="accent5">
              <a:shade val="45000"/>
              <a:satMod val="135000"/>
            </a:schemeClr>
            <a:prstClr val="white"/>
          </a:duotone>
          <a:extLst>
            <a:ext uri="{28A0092B-C50C-407E-A947-70E740481C1C}">
              <a14:useLocalDpi xmlns:a14="http://schemas.microsoft.com/office/drawing/2010/main" val="0"/>
            </a:ext>
          </a:extLst>
        </a:blip>
        <a:srcRect/>
        <a:stretch/>
      </xdr:blipFill>
      <xdr:spPr>
        <a:xfrm>
          <a:off x="6581775" y="685799"/>
          <a:ext cx="1095375" cy="8524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2</xdr:col>
          <xdr:colOff>0</xdr:colOff>
          <xdr:row>0</xdr:row>
          <xdr:rowOff>342900</xdr:rowOff>
        </xdr:to>
        <xdr:sp macro="" textlink="">
          <xdr:nvSpPr>
            <xdr:cNvPr id="1033" name="Control numérico" descr="Usa el botón del indicador giratorio para cambiar de año calendario o escribe el año en la celda C1."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20</xdr:col>
      <xdr:colOff>47625</xdr:colOff>
      <xdr:row>50</xdr:row>
      <xdr:rowOff>152804</xdr:rowOff>
    </xdr:from>
    <xdr:to>
      <xdr:col>20</xdr:col>
      <xdr:colOff>1028700</xdr:colOff>
      <xdr:row>54</xdr:row>
      <xdr:rowOff>180569</xdr:rowOff>
    </xdr:to>
    <xdr:pic>
      <xdr:nvPicPr>
        <xdr:cNvPr id="3" name="Logotipo" descr="Marcador de posición de logotipo para agregar el logotipo de la compañía">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57800" y="9868304"/>
          <a:ext cx="981075" cy="7897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46EB45C-792F-4720-AFFA-4773EA34D50B}" name="Septiembre" displayName="Septiembre" ref="C40:I46" totalsRowShown="0" headerRowDxfId="107" dataDxfId="106">
  <autoFilter ref="C40:I46" xr:uid="{7BD4247D-A8C8-4AE6-828F-1130997D9BB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EE42E89-928C-4C22-A961-7E885A45822D}" name="LUN" dataDxfId="105"/>
    <tableColumn id="2" xr3:uid="{AC077B57-4B5B-44D9-B680-1542FAA47835}" name="MAR" dataDxfId="104"/>
    <tableColumn id="3" xr3:uid="{26C6390A-ED56-4389-921B-E823E3B142FA}" name="MIÉ" dataDxfId="103"/>
    <tableColumn id="4" xr3:uid="{6297A621-248D-4715-936B-3C7C8FAC9F73}" name="JUE" dataDxfId="102"/>
    <tableColumn id="5" xr3:uid="{65439D0F-0987-4361-AACE-888F0AD02F41}" name="VIE" dataDxfId="101"/>
    <tableColumn id="6" xr3:uid="{001F5D5B-2CE2-4830-B87A-47310907E17B}" name="SÁB" dataDxfId="100"/>
    <tableColumn id="7" xr3:uid="{92559195-CB73-43D5-AD89-B537C8DAFB16}" name="DOM" dataDxfId="99"/>
  </tableColumns>
  <tableStyleInfo showFirstColumn="0" showLastColumn="0" showRowStripes="0" showColumnStripes="0"/>
  <extLst>
    <ext xmlns:x14="http://schemas.microsoft.com/office/spreadsheetml/2009/9/main" uri="{504A1905-F514-4f6f-8877-14C23A59335A}">
      <x14:table altTextSummary="El calendario de septiembre de esta tabla se actualiza automáticamente con los nombres de los días laborables y las fecha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33229B8-1B88-4F1F-8FB4-DD09863B6B21}" name="Abril" displayName="Abril" ref="K13:Q19" totalsRowShown="0" headerRowDxfId="26" dataDxfId="25">
  <autoFilter ref="K13:Q19" xr:uid="{023AAA8B-599D-4DD7-9B47-299A3FFC00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3A3BA78-F866-4F30-BC39-936CFAEA815A}" name="LUN" dataDxfId="24"/>
    <tableColumn id="2" xr3:uid="{0254C3C1-F1BB-40F1-A18F-21E91977EE53}" name="MAR" dataDxfId="23"/>
    <tableColumn id="3" xr3:uid="{C7755A12-A0CC-4F60-93D4-C919836CA309}" name="MIÉ" dataDxfId="22"/>
    <tableColumn id="4" xr3:uid="{82522450-2E91-46D3-B3E7-1AAB18C97CE5}" name="JUE" dataDxfId="21"/>
    <tableColumn id="5" xr3:uid="{DFACDB8E-BE59-41D9-9E8B-38AB9BA5A92B}" name="VIE" dataDxfId="20"/>
    <tableColumn id="6" xr3:uid="{64B8503A-65D1-4534-A8A1-DAE95B900A45}" name="SÁB" dataDxfId="19"/>
    <tableColumn id="7" xr3:uid="{65CD88A0-3D5F-46A0-8B33-E2CF40A9104A}" name="DOM" dataDxfId="18"/>
  </tableColumns>
  <tableStyleInfo showFirstColumn="0" showLastColumn="0" showRowStripes="0" showColumnStripes="0"/>
  <extLst>
    <ext xmlns:x14="http://schemas.microsoft.com/office/spreadsheetml/2009/9/main" uri="{504A1905-F514-4f6f-8877-14C23A59335A}">
      <x14:table altTextSummary="El calendario de abril de esta tabla se actualiza automáticamente con los nombres de los días laborables y las fecha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2AE65F-4F5F-4539-A5DC-D2140139BCE6}" name="Febrero" displayName="Febrero" ref="K4:Q10" totalsRowShown="0" headerRowDxfId="17" dataDxfId="16">
  <autoFilter ref="K4:Q10" xr:uid="{610DCB61-C9D8-4072-96BD-2D669E0FAB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C4C6C16-204E-44D5-B098-C9D229366098}" name="LUN" dataDxfId="15"/>
    <tableColumn id="2" xr3:uid="{C6CD5C6F-CF91-4F35-B84B-AD12AA5267FB}" name="MAR" dataDxfId="14"/>
    <tableColumn id="3" xr3:uid="{9BDA20AF-BB53-48D1-A451-57268ED65452}" name="MIÉ" dataDxfId="13"/>
    <tableColumn id="4" xr3:uid="{3404FDF8-ACC1-45AC-8414-A54CCAEE5983}" name="JUE" dataDxfId="12"/>
    <tableColumn id="5" xr3:uid="{B0CA7D5E-4DA5-48D4-9D32-CCEBB2B7C1D4}" name="VIE" dataDxfId="11"/>
    <tableColumn id="6" xr3:uid="{0C197BE0-3C8D-4A05-9555-54A2049E1930}" name="SÁB" dataDxfId="10"/>
    <tableColumn id="7" xr3:uid="{9637FE45-D42A-4BDA-BFC9-5691C984419E}" name="DOM" dataDxfId="9"/>
  </tableColumns>
  <tableStyleInfo showFirstColumn="0" showLastColumn="0" showRowStripes="0" showColumnStripes="0"/>
  <extLst>
    <ext xmlns:x14="http://schemas.microsoft.com/office/spreadsheetml/2009/9/main" uri="{504A1905-F514-4f6f-8877-14C23A59335A}">
      <x14:table altTextSummary="El calendario de febrero de esta tabla se actualiza automáticamente con los nombres de los días laborables y las fecha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8AED6C3-3B40-48D6-848F-ECF430F4B778}" name="Enero" displayName="Enero" ref="C4:I10" totalsRowShown="0" headerRowDxfId="8" dataDxfId="7">
  <autoFilter ref="C4:I10" xr:uid="{88568651-C9EB-4E22-ADF8-AF307D60FB1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D08E625-E389-49CD-A4F1-235667DDA1FB}" name="LUN" dataDxfId="6"/>
    <tableColumn id="2" xr3:uid="{75530CFD-B4AD-4D7F-B600-AAB405F13F73}" name="MAR" dataDxfId="5"/>
    <tableColumn id="3" xr3:uid="{FBE5DEA2-935E-4CDB-8F4B-6DA495232F54}" name="MIÉ" dataDxfId="4"/>
    <tableColumn id="4" xr3:uid="{C3545009-9649-4B2D-9DF4-38AA968488C7}" name="JUE" dataDxfId="3"/>
    <tableColumn id="5" xr3:uid="{66242A36-16C2-4785-B8BE-E7522FB57E7F}" name="VIE" dataDxfId="2"/>
    <tableColumn id="6" xr3:uid="{0C7FC9B3-E733-414B-918A-07CAC4D1424B}" name="SÁB" dataDxfId="1"/>
    <tableColumn id="7" xr3:uid="{A966067F-058A-45AC-B3F6-BDEA651BC587}" name="DOM" dataDxfId="0"/>
  </tableColumns>
  <tableStyleInfo showFirstColumn="0" showLastColumn="0" showRowStripes="0" showColumnStripes="0"/>
  <extLst>
    <ext xmlns:x14="http://schemas.microsoft.com/office/spreadsheetml/2009/9/main" uri="{504A1905-F514-4f6f-8877-14C23A59335A}">
      <x14:table altTextSummary="El calendario de enero de esta tabla se actualiza automáticamente con los nombres de los días laborables y las fecha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780AF45-5D0B-4D82-A104-EC33AB3AAABC}" name="Octubre" displayName="Octubre" ref="K40:Q46" totalsRowShown="0" headerRowDxfId="98" dataDxfId="97">
  <autoFilter ref="K40:Q46" xr:uid="{F5C87179-9167-449C-9551-AE5292621A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E83FF77-4BE3-4402-B310-F79BA1795D6B}" name="LUN" dataDxfId="96"/>
    <tableColumn id="2" xr3:uid="{BC214BD9-B1AA-437E-9F2A-96512D1FC1EF}" name="MAR" dataDxfId="95"/>
    <tableColumn id="3" xr3:uid="{DEF1622E-55E3-4D12-BCF7-2C2AD5CA979E}" name="MIÉ" dataDxfId="94"/>
    <tableColumn id="4" xr3:uid="{F867F210-9EED-4C0D-8B37-DA1447D6A197}" name="JUE" dataDxfId="93"/>
    <tableColumn id="5" xr3:uid="{CE9078E8-C980-4A0A-A8D3-2FD8424176E3}" name="VIE" dataDxfId="92"/>
    <tableColumn id="6" xr3:uid="{515CFAB1-C4A6-417A-9486-443828202D84}" name="SÁB" dataDxfId="91"/>
    <tableColumn id="7" xr3:uid="{4B8E7248-85D1-4C1F-B418-3B6A982A7CFB}" name="DOM" dataDxfId="90"/>
  </tableColumns>
  <tableStyleInfo showFirstColumn="0" showLastColumn="0" showRowStripes="0" showColumnStripes="0"/>
  <extLst>
    <ext xmlns:x14="http://schemas.microsoft.com/office/spreadsheetml/2009/9/main" uri="{504A1905-F514-4f6f-8877-14C23A59335A}">
      <x14:table altTextSummary="El calendario de octubre de esta tabla se actualiza automáticamente con los nombres de los días laborables y las fecha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0A8A860-1B1C-477C-8F5B-037CA6D60998}" name="Diciembre" displayName="Diciembre" ref="K49:Q55" totalsRowShown="0" headerRowDxfId="89" dataDxfId="88">
  <autoFilter ref="K49:Q55" xr:uid="{AE48E127-E30D-4A27-8551-E2A886E83CB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7048C4D-C2DF-46BD-A5C9-B2C096C9FB62}" name="LUN" dataDxfId="87"/>
    <tableColumn id="2" xr3:uid="{0B2EF454-81AB-4D52-AA3C-B690EE44D185}" name="MAR" dataDxfId="86"/>
    <tableColumn id="3" xr3:uid="{330729B5-C644-4537-822D-A57AA2A6AFCB}" name="MIÉ" dataDxfId="85"/>
    <tableColumn id="4" xr3:uid="{B075B448-2CB0-4CF8-8793-E5F852FB6BF4}" name="JUE" dataDxfId="84"/>
    <tableColumn id="5" xr3:uid="{3DD95F2E-3155-449D-8E77-13FA75DB345D}" name="VIE" dataDxfId="83"/>
    <tableColumn id="6" xr3:uid="{14159A6B-D249-4320-B25E-77E7CE8A7B70}" name="SÁB" dataDxfId="82"/>
    <tableColumn id="7" xr3:uid="{120B0F7F-66B4-43D6-A5A0-273402CB3A21}" name="DOM" dataDxfId="81"/>
  </tableColumns>
  <tableStyleInfo showFirstColumn="0" showLastColumn="0" showRowStripes="0" showColumnStripes="0"/>
  <extLst>
    <ext xmlns:x14="http://schemas.microsoft.com/office/spreadsheetml/2009/9/main" uri="{504A1905-F514-4f6f-8877-14C23A59335A}">
      <x14:table altTextSummary="El calendario de diciembre de esta tabla se actualiza automáticamente con los nombres de los días laborables y las fecha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4D967C8-7081-403B-BA98-B9E5AE58E7CA}" name="Noviembre" displayName="Noviembre" ref="C49:I55" totalsRowShown="0" headerRowDxfId="80" dataDxfId="79">
  <autoFilter ref="C49:I55" xr:uid="{18BAEB8B-DB52-4501-B02D-A0E4349FAC3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91C006-42BC-4E2D-BF6A-BE6F37B8B800}" name="LUN" dataDxfId="78"/>
    <tableColumn id="2" xr3:uid="{1938D43D-8FD5-4C3A-BBDE-168F7D05611A}" name="MAR" dataDxfId="77"/>
    <tableColumn id="3" xr3:uid="{4842CF04-FF41-4DB4-969F-4FF7FB3902A6}" name="MIÉ" dataDxfId="76"/>
    <tableColumn id="4" xr3:uid="{E599A265-8BBA-452F-8721-124F4941D44A}" name="JUE" dataDxfId="75"/>
    <tableColumn id="5" xr3:uid="{503B45A2-4B8C-40CA-A557-BE247E21EBE0}" name="VIE" dataDxfId="74"/>
    <tableColumn id="6" xr3:uid="{11596C05-FA11-4530-A6EA-61D3235356BC}" name="SÁB" dataDxfId="73"/>
    <tableColumn id="7" xr3:uid="{0AEE3C18-6495-4572-AF73-82B176FF576D}" name="DOM" dataDxfId="72"/>
  </tableColumns>
  <tableStyleInfo showFirstColumn="0" showLastColumn="0" showRowStripes="0" showColumnStripes="0"/>
  <extLst>
    <ext xmlns:x14="http://schemas.microsoft.com/office/spreadsheetml/2009/9/main" uri="{504A1905-F514-4f6f-8877-14C23A59335A}">
      <x14:table altTextSummary="El calendario de noviembre de esta tabla se actualiza automáticamente con los nombres de los días laborables y las fecha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93C1060-32D3-4798-8C5C-D8EC60209D45}" name="Agosto" displayName="Agosto" ref="K31:Q37" totalsRowShown="0" headerRowDxfId="71" dataDxfId="70">
  <autoFilter ref="K31:Q37" xr:uid="{BF200729-0103-4A7A-9F1A-8C896181E4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37ACFF2-D98C-4302-A4DC-B2CD7F51DBCB}" name="LUN" dataDxfId="69"/>
    <tableColumn id="2" xr3:uid="{2ADFD18E-73CF-40C6-9E7E-AC4C740BC59D}" name="MAR" dataDxfId="68"/>
    <tableColumn id="3" xr3:uid="{BBC74DA7-83A6-4D91-BF4B-5F328BDDADC6}" name="MIÉ" dataDxfId="67"/>
    <tableColumn id="4" xr3:uid="{8C330E47-2E4D-412E-815A-0394E6AE9382}" name="JUE" dataDxfId="66"/>
    <tableColumn id="5" xr3:uid="{7DE51A02-5E8E-45A2-8DAD-8BCA97881B5B}" name="VIE" dataDxfId="65"/>
    <tableColumn id="6" xr3:uid="{F1DBB649-6704-4D40-9CEA-DF15F983A06C}" name="SÁB" dataDxfId="64"/>
    <tableColumn id="7" xr3:uid="{51A41C29-8B84-44D3-9FBF-8CFD330AE630}" name="DOM" dataDxfId="63"/>
  </tableColumns>
  <tableStyleInfo showFirstColumn="0" showLastColumn="0" showRowStripes="0" showColumnStripes="0"/>
  <extLst>
    <ext xmlns:x14="http://schemas.microsoft.com/office/spreadsheetml/2009/9/main" uri="{504A1905-F514-4f6f-8877-14C23A59335A}">
      <x14:table altTextSummary="El calendario de agosto de esta tabla se actualiza automáticamente con los nombres de los días laborables y las fecha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F34819D-AB97-4F99-A0A0-D10139D84156}" name="Julio" displayName="Julio" ref="C31:I37" totalsRowShown="0" headerRowDxfId="62" dataDxfId="61">
  <autoFilter ref="C31:I37" xr:uid="{CE87FFBF-56D6-414D-8F19-D541DDAC9D5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C3573E-5603-40F0-BB61-A49AC0DCDC68}" name="LUN" dataDxfId="60"/>
    <tableColumn id="2" xr3:uid="{568E5AFD-291F-45CA-83FA-D2B689223DA6}" name="MAR" dataDxfId="59"/>
    <tableColumn id="3" xr3:uid="{C8C03194-1D08-49BA-A13F-C8057F21DCFD}" name="MIÉ" dataDxfId="58"/>
    <tableColumn id="4" xr3:uid="{FA9F7A80-5142-4B66-A4DB-DD0C92AD12F8}" name="JUE" dataDxfId="57"/>
    <tableColumn id="5" xr3:uid="{B161F7ED-ED60-4234-A636-5B7151552BEE}" name="VIE" dataDxfId="56"/>
    <tableColumn id="6" xr3:uid="{B35D3CFE-C366-4BB1-8DB2-4AA956526C0F}" name="SÁB" dataDxfId="55"/>
    <tableColumn id="7" xr3:uid="{AE059A51-FD33-4417-8D42-3C2CFA91888E}" name="DOM" dataDxfId="54"/>
  </tableColumns>
  <tableStyleInfo showFirstColumn="0" showLastColumn="0" showRowStripes="0" showColumnStripes="0"/>
  <extLst>
    <ext xmlns:x14="http://schemas.microsoft.com/office/spreadsheetml/2009/9/main" uri="{504A1905-F514-4f6f-8877-14C23A59335A}">
      <x14:table altTextSummary="El calendario de julio de esta tabla se actualiza automáticamente con los nombres de los días laborables y las fecha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B9987B7-53E6-4450-8C9D-39A47FFE4134}" name="Junio" displayName="Junio" ref="K22:Q28" totalsRowShown="0" headerRowDxfId="53" dataDxfId="52">
  <autoFilter ref="K22:Q28" xr:uid="{7057847F-74B8-4861-B2F4-DF1BEFB3609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86102EA-1BCA-43D2-BF1B-CDC69B4F8D11}" name="LUN" dataDxfId="51"/>
    <tableColumn id="2" xr3:uid="{C194C86A-B8C3-4374-966A-22BFA0B87048}" name="MAR" dataDxfId="50"/>
    <tableColumn id="3" xr3:uid="{59B5196A-9902-475A-80A7-EFF51EFA062C}" name="MIÉ" dataDxfId="49"/>
    <tableColumn id="4" xr3:uid="{40178AF9-C419-4535-8950-10F3AF777975}" name="JUE" dataDxfId="48"/>
    <tableColumn id="5" xr3:uid="{BDB3553D-E653-45F5-90BF-B9941CEE517B}" name="VIE" dataDxfId="47"/>
    <tableColumn id="6" xr3:uid="{C391E899-8C56-4F85-BC13-979EA10FF077}" name="SÁB" dataDxfId="46"/>
    <tableColumn id="7" xr3:uid="{AF6B7E0C-93D9-4615-ABA0-6086AA3DDB65}" name="DOM" dataDxfId="45"/>
  </tableColumns>
  <tableStyleInfo showFirstColumn="0" showLastColumn="0" showRowStripes="0" showColumnStripes="0"/>
  <extLst>
    <ext xmlns:x14="http://schemas.microsoft.com/office/spreadsheetml/2009/9/main" uri="{504A1905-F514-4f6f-8877-14C23A59335A}">
      <x14:table altTextSummary="El calendario de junio de esta tabla se actualiza automáticamente con los nombres de los días laborables y las fecha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7944E7C-9B8A-4194-B034-46E5D0A26219}" name="Mayo" displayName="Mayo" ref="C22:I28" totalsRowShown="0" headerRowDxfId="44" dataDxfId="43">
  <autoFilter ref="C22:I28" xr:uid="{B526D7A0-2417-4315-B717-973C3BE43DF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6AE9DEF-4B20-42DF-860F-E5FEA1931544}" name="LUN" dataDxfId="42"/>
    <tableColumn id="2" xr3:uid="{0D18FAF9-1362-4AF0-B56F-782045BC6DB7}" name="MAR" dataDxfId="41"/>
    <tableColumn id="3" xr3:uid="{8FBCF9B5-6CA8-4EB0-9DF9-D8F0F6F9C6BC}" name="MIÉ" dataDxfId="40"/>
    <tableColumn id="4" xr3:uid="{4F7F0F7F-47CD-4FF1-9E35-1B24099D080C}" name="JUE" dataDxfId="39"/>
    <tableColumn id="5" xr3:uid="{DF92B16F-6BC5-4BDE-98FB-CDC534ADD668}" name="VIE" dataDxfId="38"/>
    <tableColumn id="6" xr3:uid="{D029CFB9-380E-45BB-8A4B-FA3072C21946}" name="SÁB" dataDxfId="37"/>
    <tableColumn id="7" xr3:uid="{478495E3-4C1A-4928-9264-BB651B96552E}" name="DOM" dataDxfId="36"/>
  </tableColumns>
  <tableStyleInfo showFirstColumn="0" showLastColumn="0" showRowStripes="0" showColumnStripes="0"/>
  <extLst>
    <ext xmlns:x14="http://schemas.microsoft.com/office/spreadsheetml/2009/9/main" uri="{504A1905-F514-4f6f-8877-14C23A59335A}">
      <x14:table altTextSummary="El calendario de mayo de esta tabla se actualiza automáticamente con los nombres de los días laborables y las fecha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B45672E-D812-4A32-A068-364BB71226F2}" name="Marzo" displayName="Marzo" ref="C13:I19" totalsRowShown="0" headerRowDxfId="35" dataDxfId="34">
  <autoFilter ref="C13:I19" xr:uid="{AF600F25-0571-4E74-8055-BF9579FE3A8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5D00B5-F11C-4847-A168-315955A9AFBB}" name="LUN" dataDxfId="33"/>
    <tableColumn id="2" xr3:uid="{DD8FDA0B-3E4D-4BE5-ABD0-6A4A10D7346F}" name="MAR" dataDxfId="32"/>
    <tableColumn id="3" xr3:uid="{525A03B4-FE60-4320-8824-28642BB0B1ED}" name="MIÉ" dataDxfId="31"/>
    <tableColumn id="4" xr3:uid="{AFB9B421-9871-4103-9D22-CD1267615538}" name="JUE" dataDxfId="30"/>
    <tableColumn id="5" xr3:uid="{F3F809D4-B280-4CB6-AD4F-5694D0CD7653}" name="VIE" dataDxfId="29"/>
    <tableColumn id="6" xr3:uid="{43B35C36-7B34-4608-8FC7-292BFAB1A110}" name="SÁB" dataDxfId="28"/>
    <tableColumn id="7" xr3:uid="{2A162B00-2D10-4072-99A5-4D8A31ECAC84}" name="DOM" dataDxfId="27"/>
  </tableColumns>
  <tableStyleInfo showFirstColumn="0" showLastColumn="0" showRowStripes="0" showColumnStripes="0"/>
  <extLst>
    <ext xmlns:x14="http://schemas.microsoft.com/office/spreadsheetml/2009/9/main" uri="{504A1905-F514-4f6f-8877-14C23A59335A}">
      <x14:table altTextSummary="El calendario de marzo de esta tabla se actualiza automáticamente con los nombres de los días laborables y las fechas."/>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7" dT="2023-12-13T15:38:19.78" personId="{00000000-0000-0000-0000-000000000000}" id="{8D3949EC-FF2D-4449-BDFD-9868848A8275}">
    <text>Consejo Superior tentativo en Valledupar</text>
  </threadedComment>
  <threadedComment ref="L45" dT="2023-11-27T20:22:37.84" personId="{00000000-0000-0000-0000-000000000000}" id="{F9DCC201-42CB-1F46-8CCC-B5D86A866287}">
    <text>Tentativo en Valledupar.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18" Type="http://schemas.microsoft.com/office/2017/10/relationships/threadedComment" Target="../threadedComments/threadedComment1.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table" Target="../tables/table12.xml"/><Relationship Id="rId1" Type="http://schemas.openxmlformats.org/officeDocument/2006/relationships/printerSettings" Target="../printerSettings/printerSettings2.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A67F1-E720-4B76-B254-0DA3BCA662D8}">
  <sheetPr>
    <tabColor theme="7" tint="-0.249977111117893"/>
  </sheetPr>
  <dimension ref="B1:B8"/>
  <sheetViews>
    <sheetView showGridLines="0" workbookViewId="0"/>
  </sheetViews>
  <sheetFormatPr baseColWidth="10" defaultColWidth="8.75" defaultRowHeight="11" x14ac:dyDescent="0.15"/>
  <cols>
    <col min="1" max="1" width="2.75" customWidth="1"/>
    <col min="2" max="2" width="99" style="21" customWidth="1"/>
    <col min="3" max="3" width="2.75" customWidth="1"/>
  </cols>
  <sheetData>
    <row r="1" spans="2:2" ht="30" customHeight="1" x14ac:dyDescent="0.15">
      <c r="B1" s="18" t="s">
        <v>0</v>
      </c>
    </row>
    <row r="2" spans="2:2" ht="30" customHeight="1" x14ac:dyDescent="0.15">
      <c r="B2" s="17" t="s">
        <v>1</v>
      </c>
    </row>
    <row r="3" spans="2:2" ht="30" customHeight="1" x14ac:dyDescent="0.15">
      <c r="B3" s="17" t="s">
        <v>2</v>
      </c>
    </row>
    <row r="4" spans="2:2" ht="30" customHeight="1" x14ac:dyDescent="0.15">
      <c r="B4" s="17" t="s">
        <v>3</v>
      </c>
    </row>
    <row r="5" spans="2:2" ht="30" customHeight="1" x14ac:dyDescent="0.2">
      <c r="B5" s="20" t="s">
        <v>4</v>
      </c>
    </row>
    <row r="6" spans="2:2" ht="65.25" customHeight="1" x14ac:dyDescent="0.15">
      <c r="B6" s="25" t="s">
        <v>5</v>
      </c>
    </row>
    <row r="7" spans="2:2" ht="48" x14ac:dyDescent="0.15">
      <c r="B7" s="19" t="s">
        <v>6</v>
      </c>
    </row>
    <row r="8" spans="2:2" ht="15" x14ac:dyDescent="0.15">
      <c r="B8" s="1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O69"/>
  <sheetViews>
    <sheetView showGridLines="0" tabSelected="1" topLeftCell="A36" zoomScale="200" zoomScaleNormal="100" workbookViewId="0">
      <selection activeCell="L45" sqref="L45"/>
    </sheetView>
  </sheetViews>
  <sheetFormatPr baseColWidth="10" defaultColWidth="9.5" defaultRowHeight="11" x14ac:dyDescent="0.15"/>
  <cols>
    <col min="1" max="1" width="2.5" style="24" customWidth="1"/>
    <col min="2" max="2" width="5.25" customWidth="1"/>
    <col min="3" max="3" width="6.75" customWidth="1"/>
    <col min="4" max="4" width="7.75" customWidth="1"/>
    <col min="5" max="5" width="6.5" customWidth="1"/>
    <col min="6" max="6" width="7.25" customWidth="1"/>
    <col min="7" max="7" width="6.75" customWidth="1"/>
    <col min="8" max="8" width="6" customWidth="1"/>
    <col min="9" max="9" width="6.5" customWidth="1"/>
    <col min="10" max="11" width="5" customWidth="1"/>
    <col min="12" max="12" width="5.25" customWidth="1"/>
    <col min="13" max="13" width="5" customWidth="1"/>
    <col min="14" max="14" width="5.25" customWidth="1"/>
    <col min="15" max="15" width="5.5" customWidth="1"/>
    <col min="16" max="16" width="5" customWidth="1"/>
    <col min="17" max="17" width="5.5" customWidth="1"/>
    <col min="18" max="18" width="2.25" customWidth="1"/>
    <col min="19" max="19" width="1.25" customWidth="1"/>
    <col min="20" max="20" width="5.25" customWidth="1"/>
    <col min="21" max="21" width="70" bestFit="1" customWidth="1"/>
    <col min="22" max="22" width="9.25" customWidth="1"/>
    <col min="23" max="23" width="13.5" customWidth="1"/>
    <col min="24" max="24" width="2.75" customWidth="1"/>
    <col min="25" max="43" width="9.25" customWidth="1"/>
    <col min="44" max="44" width="9.5" customWidth="1"/>
  </cols>
  <sheetData>
    <row r="1" spans="1:41" ht="30" customHeight="1" x14ac:dyDescent="0.15">
      <c r="A1" s="22" t="s">
        <v>28</v>
      </c>
      <c r="B1" s="10"/>
      <c r="C1" s="47">
        <v>2024</v>
      </c>
      <c r="D1" s="47"/>
      <c r="E1" s="47"/>
      <c r="F1" s="47"/>
      <c r="G1" s="11"/>
      <c r="H1" s="12"/>
      <c r="I1" s="12"/>
      <c r="J1" s="12"/>
      <c r="K1" s="12"/>
      <c r="L1" s="12"/>
      <c r="M1" s="12"/>
      <c r="N1" s="12"/>
      <c r="O1" s="12"/>
      <c r="P1" s="12"/>
      <c r="Q1" s="12"/>
      <c r="R1" s="12"/>
      <c r="S1" s="10"/>
      <c r="T1" s="10"/>
      <c r="U1" s="13" t="s">
        <v>26</v>
      </c>
      <c r="V1" s="10"/>
      <c r="W1" s="10"/>
    </row>
    <row r="2" spans="1:41" ht="15" customHeight="1" x14ac:dyDescent="0.15">
      <c r="A2" s="23" t="s">
        <v>29</v>
      </c>
      <c r="B2" s="48" t="s">
        <v>30</v>
      </c>
      <c r="C2" s="48"/>
      <c r="D2" s="48"/>
      <c r="E2" s="48"/>
      <c r="F2" s="48"/>
      <c r="G2" s="48"/>
      <c r="H2" s="48"/>
      <c r="I2" s="48"/>
      <c r="J2" s="48"/>
      <c r="S2" s="3"/>
    </row>
    <row r="3" spans="1:41" ht="15" customHeight="1" x14ac:dyDescent="0.2">
      <c r="A3" s="24" t="s">
        <v>31</v>
      </c>
      <c r="C3" s="49" t="s">
        <v>8</v>
      </c>
      <c r="D3" s="49"/>
      <c r="E3" s="49"/>
      <c r="F3" s="49"/>
      <c r="G3" s="49"/>
      <c r="H3" s="49"/>
      <c r="I3" s="49"/>
      <c r="J3" s="2"/>
      <c r="K3" s="50" t="s">
        <v>20</v>
      </c>
      <c r="L3" s="50"/>
      <c r="M3" s="50"/>
      <c r="N3" s="50"/>
      <c r="O3" s="50"/>
      <c r="P3" s="50"/>
      <c r="Q3" s="50"/>
      <c r="S3" s="3"/>
      <c r="U3" s="33" t="s">
        <v>46</v>
      </c>
      <c r="V3" s="52"/>
      <c r="W3" s="52"/>
    </row>
    <row r="4" spans="1:41" ht="15" customHeight="1" x14ac:dyDescent="0.15">
      <c r="A4" s="23" t="s">
        <v>32</v>
      </c>
      <c r="C4" s="16" t="s">
        <v>27</v>
      </c>
      <c r="D4" s="16" t="s">
        <v>14</v>
      </c>
      <c r="E4" s="16" t="s">
        <v>15</v>
      </c>
      <c r="F4" s="16" t="s">
        <v>16</v>
      </c>
      <c r="G4" s="16" t="s">
        <v>17</v>
      </c>
      <c r="H4" s="16" t="s">
        <v>18</v>
      </c>
      <c r="I4" s="16" t="s">
        <v>19</v>
      </c>
      <c r="J4" s="1"/>
      <c r="K4" s="16" t="s">
        <v>27</v>
      </c>
      <c r="L4" s="16" t="s">
        <v>14</v>
      </c>
      <c r="M4" s="16" t="s">
        <v>15</v>
      </c>
      <c r="N4" s="16" t="s">
        <v>16</v>
      </c>
      <c r="O4" s="16" t="s">
        <v>17</v>
      </c>
      <c r="P4" s="16" t="s">
        <v>18</v>
      </c>
      <c r="Q4" s="16" t="s">
        <v>19</v>
      </c>
      <c r="S4" s="3"/>
      <c r="U4" s="38" t="s">
        <v>54</v>
      </c>
      <c r="V4" s="52"/>
      <c r="W4" s="52"/>
    </row>
    <row r="5" spans="1:41" ht="15" customHeight="1" x14ac:dyDescent="0.15">
      <c r="A5" s="23"/>
      <c r="C5" s="29">
        <f>IF(DAY(EneDom1)=1,"",IF(AND(YEAR(EneDom1+1)=AñoCalendario,MONTH(EneDom1+1)=1),EneDom1+1,""))</f>
        <v>45292</v>
      </c>
      <c r="D5" s="28">
        <f>IF(DAY(EneDom1)=1,"",IF(AND(YEAR(EneDom1+2)=AñoCalendario,MONTH(EneDom1+2)=1),EneDom1+2,""))</f>
        <v>45293</v>
      </c>
      <c r="E5" s="28">
        <f>IF(DAY(EneDom1)=1,"",IF(AND(YEAR(EneDom1+3)=AñoCalendario,MONTH(EneDom1+3)=1),EneDom1+3,""))</f>
        <v>45294</v>
      </c>
      <c r="F5" s="28">
        <f>IF(DAY(EneDom1)=1,"",IF(AND(YEAR(EneDom1+4)=AñoCalendario,MONTH(EneDom1+4)=1),EneDom1+4,""))</f>
        <v>45295</v>
      </c>
      <c r="G5" s="28">
        <f>IF(DAY(EneDom1)=1,"",IF(AND(YEAR(EneDom1+5)=AñoCalendario,MONTH(EneDom1+5)=1),EneDom1+5,""))</f>
        <v>45296</v>
      </c>
      <c r="H5" s="28">
        <f>IF(DAY(EneDom1)=1,"",IF(AND(YEAR(EneDom1+6)=AñoCalendario,MONTH(EneDom1+6)=1),EneDom1+6,""))</f>
        <v>45297</v>
      </c>
      <c r="I5" s="28">
        <f>IF(DAY(EneDom1)=1,IF(AND(YEAR(EneDom1)=AñoCalendario,MONTH(EneDom1)=1),EneDom1,""),IF(AND(YEAR(EneDom1+7)=AñoCalendario,MONTH(EneDom1+7)=1),EneDom1+7,""))</f>
        <v>45298</v>
      </c>
      <c r="J5" s="1"/>
      <c r="K5" s="28" t="str">
        <f>IF(DAY(FebDom1)=1,"",IF(AND(YEAR(FebDom1+1)=AñoCalendario,MONTH(FebDom1+1)=2),FebDom1+1,""))</f>
        <v/>
      </c>
      <c r="L5" s="28" t="str">
        <f>IF(DAY(FebDom1)=1,"",IF(AND(YEAR(FebDom1+2)=AñoCalendario,MONTH(FebDom1+2)=2),FebDom1+2,""))</f>
        <v/>
      </c>
      <c r="M5" s="28" t="str">
        <f>IF(DAY(FebDom1)=1,"",IF(AND(YEAR(FebDom1+3)=AñoCalendario,MONTH(FebDom1+3)=2),FebDom1+3,""))</f>
        <v/>
      </c>
      <c r="N5" s="28">
        <f>IF(DAY(FebDom1)=1,"",IF(AND(YEAR(FebDom1+4)=AñoCalendario,MONTH(FebDom1+4)=2),FebDom1+4,""))</f>
        <v>45323</v>
      </c>
      <c r="O5" s="28">
        <f>IF(DAY(FebDom1)=1,"",IF(AND(YEAR(FebDom1+5)=AñoCalendario,MONTH(FebDom1+5)=2),FebDom1+5,""))</f>
        <v>45324</v>
      </c>
      <c r="P5" s="28">
        <f>IF(DAY(FebDom1)=1,"",IF(AND(YEAR(FebDom1+6)=AñoCalendario,MONTH(FebDom1+6)=2),FebDom1+6,""))</f>
        <v>45325</v>
      </c>
      <c r="Q5" s="28">
        <f>IF(DAY(FebDom1)=1,IF(AND(YEAR(FebDom1)=AñoCalendario,MONTH(FebDom1)=2),FebDom1,""),IF(AND(YEAR(FebDom1+7)=AñoCalendario,MONTH(FebDom1+7)=2),FebDom1+7,""))</f>
        <v>45326</v>
      </c>
      <c r="S5" s="3"/>
      <c r="U5" s="37" t="s">
        <v>55</v>
      </c>
      <c r="V5" s="52"/>
      <c r="W5" s="52"/>
    </row>
    <row r="6" spans="1:41" ht="15" customHeight="1" x14ac:dyDescent="0.15">
      <c r="A6" s="23"/>
      <c r="C6" s="29">
        <f>IF(DAY(EneDom1)=1,IF(AND(YEAR(EneDom1+1)=AñoCalendario,MONTH(EneDom1+1)=1),EneDom1+1,""),IF(AND(YEAR(EneDom1+8)=AñoCalendario,MONTH(EneDom1+8)=1),EneDom1+8,""))</f>
        <v>45299</v>
      </c>
      <c r="D6" s="28">
        <f>IF(DAY(EneDom1)=1,IF(AND(YEAR(EneDom1+2)=AñoCalendario,MONTH(EneDom1+2)=1),EneDom1+2,""),IF(AND(YEAR(EneDom1+9)=AñoCalendario,MONTH(EneDom1+9)=1),EneDom1+9,""))</f>
        <v>45300</v>
      </c>
      <c r="E6" s="28">
        <f>IF(DAY(EneDom1)=1,IF(AND(YEAR(EneDom1+3)=AñoCalendario,MONTH(EneDom1+3)=1),EneDom1+3,""),IF(AND(YEAR(EneDom1+10)=AñoCalendario,MONTH(EneDom1+10)=1),EneDom1+10,""))</f>
        <v>45301</v>
      </c>
      <c r="F6" s="28">
        <f>IF(DAY(EneDom1)=1,IF(AND(YEAR(EneDom1+4)=AñoCalendario,MONTH(EneDom1+4)=1),EneDom1+4,""),IF(AND(YEAR(EneDom1+11)=AñoCalendario,MONTH(EneDom1+11)=1),EneDom1+11,""))</f>
        <v>45302</v>
      </c>
      <c r="G6" s="28">
        <f>IF(DAY(EneDom1)=1,IF(AND(YEAR(EneDom1+5)=AñoCalendario,MONTH(EneDom1+5)=1),EneDom1+5,""),IF(AND(YEAR(EneDom1+12)=AñoCalendario,MONTH(EneDom1+12)=1),EneDom1+12,""))</f>
        <v>45303</v>
      </c>
      <c r="H6" s="28">
        <f>IF(DAY(EneDom1)=1,IF(AND(YEAR(EneDom1+6)=AñoCalendario,MONTH(EneDom1+6)=1),EneDom1+6,""),IF(AND(YEAR(EneDom1+13)=AñoCalendario,MONTH(EneDom1+13)=1),EneDom1+13,""))</f>
        <v>45304</v>
      </c>
      <c r="I6" s="28">
        <f>IF(DAY(EneDom1)=1,IF(AND(YEAR(EneDom1+7)=AñoCalendario,MONTH(EneDom1+7)=1),EneDom1+7,""),IF(AND(YEAR(EneDom1+14)=AñoCalendario,MONTH(EneDom1+14)=1),EneDom1+14,""))</f>
        <v>45305</v>
      </c>
      <c r="J6" s="1"/>
      <c r="K6" s="28">
        <f>IF(DAY(FebDom1)=1,IF(AND(YEAR(FebDom1+1)=AñoCalendario,MONTH(FebDom1+1)=2),FebDom1+1,""),IF(AND(YEAR(FebDom1+8)=AñoCalendario,MONTH(FebDom1+8)=2),FebDom1+8,""))</f>
        <v>45327</v>
      </c>
      <c r="L6" s="28">
        <f>IF(DAY(FebDom1)=1,IF(AND(YEAR(FebDom1+2)=AñoCalendario,MONTH(FebDom1+2)=2),FebDom1+2,""),IF(AND(YEAR(FebDom1+9)=AñoCalendario,MONTH(FebDom1+9)=2),FebDom1+9,""))</f>
        <v>45328</v>
      </c>
      <c r="M6" s="28">
        <f>IF(DAY(FebDom1)=1,IF(AND(YEAR(FebDom1+3)=AñoCalendario,MONTH(FebDom1+3)=2),FebDom1+3,""),IF(AND(YEAR(FebDom1+10)=AñoCalendario,MONTH(FebDom1+10)=2),FebDom1+10,""))</f>
        <v>45329</v>
      </c>
      <c r="N6" s="28">
        <f>IF(DAY(FebDom1)=1,IF(AND(YEAR(FebDom1+4)=AñoCalendario,MONTH(FebDom1+4)=2),FebDom1+4,""),IF(AND(YEAR(FebDom1+11)=AñoCalendario,MONTH(FebDom1+11)=2),FebDom1+11,""))</f>
        <v>45330</v>
      </c>
      <c r="O6" s="28">
        <f>IF(DAY(FebDom1)=1,IF(AND(YEAR(FebDom1+5)=AñoCalendario,MONTH(FebDom1+5)=2),FebDom1+5,""),IF(AND(YEAR(FebDom1+12)=AñoCalendario,MONTH(FebDom1+12)=2),FebDom1+12,""))</f>
        <v>45331</v>
      </c>
      <c r="P6" s="28">
        <f>IF(DAY(FebDom1)=1,IF(AND(YEAR(FebDom1+6)=AñoCalendario,MONTH(FebDom1+6)=2),FebDom1+6,""),IF(AND(YEAR(FebDom1+13)=AñoCalendario,MONTH(FebDom1+13)=2),FebDom1+13,""))</f>
        <v>45332</v>
      </c>
      <c r="Q6" s="28">
        <f>IF(DAY(FebDom1)=1,IF(AND(YEAR(FebDom1+7)=AñoCalendario,MONTH(FebDom1+7)=2),FebDom1+7,""),IF(AND(YEAR(FebDom1+14)=AñoCalendario,MONTH(FebDom1+14)=2),FebDom1+14,""))</f>
        <v>45333</v>
      </c>
      <c r="S6" s="3"/>
      <c r="U6" s="34" t="s">
        <v>47</v>
      </c>
      <c r="V6" s="52"/>
      <c r="W6" s="52"/>
    </row>
    <row r="7" spans="1:41" ht="15" customHeight="1" x14ac:dyDescent="0.15">
      <c r="C7" s="28">
        <f>IF(DAY(EneDom1)=1,IF(AND(YEAR(EneDom1+8)=AñoCalendario,MONTH(EneDom1+8)=1),EneDom1+8,""),IF(AND(YEAR(EneDom1+15)=AñoCalendario,MONTH(EneDom1+15)=1),EneDom1+15,""))</f>
        <v>45306</v>
      </c>
      <c r="D7" s="43">
        <f>IF(DAY(EneDom1)=1,IF(AND(YEAR(EneDom1+9)=AñoCalendario,MONTH(EneDom1+9)=1),EneDom1+9,""),IF(AND(YEAR(EneDom1+16)=AñoCalendario,MONTH(EneDom1+16)=1),EneDom1+16,""))</f>
        <v>45307</v>
      </c>
      <c r="E7" s="28">
        <f>IF(DAY(EneDom1)=1,IF(AND(YEAR(EneDom1+10)=AñoCalendario,MONTH(EneDom1+10)=1),EneDom1+10,""),IF(AND(YEAR(EneDom1+17)=AñoCalendario,MONTH(EneDom1+17)=1),EneDom1+17,""))</f>
        <v>45308</v>
      </c>
      <c r="F7" s="28">
        <f>IF(DAY(EneDom1)=1,IF(AND(YEAR(EneDom1+11)=AñoCalendario,MONTH(EneDom1+11)=1),EneDom1+11,""),IF(AND(YEAR(EneDom1+18)=AñoCalendario,MONTH(EneDom1+18)=1),EneDom1+18,""))</f>
        <v>45309</v>
      </c>
      <c r="G7" s="28">
        <f>IF(DAY(EneDom1)=1,IF(AND(YEAR(EneDom1+12)=AñoCalendario,MONTH(EneDom1+12)=1),EneDom1+12,""),IF(AND(YEAR(EneDom1+19)=AñoCalendario,MONTH(EneDom1+19)=1),EneDom1+19,""))</f>
        <v>45310</v>
      </c>
      <c r="H7" s="28">
        <f>IF(DAY(EneDom1)=1,IF(AND(YEAR(EneDom1+13)=AñoCalendario,MONTH(EneDom1+13)=1),EneDom1+13,""),IF(AND(YEAR(EneDom1+20)=AñoCalendario,MONTH(EneDom1+20)=1),EneDom1+20,""))</f>
        <v>45311</v>
      </c>
      <c r="I7" s="28">
        <f>IF(DAY(EneDom1)=1,IF(AND(YEAR(EneDom1+14)=AñoCalendario,MONTH(EneDom1+14)=1),EneDom1+14,""),IF(AND(YEAR(EneDom1+21)=AñoCalendario,MONTH(EneDom1+21)=1),EneDom1+21,""))</f>
        <v>45312</v>
      </c>
      <c r="J7" s="1"/>
      <c r="K7" s="28">
        <f>IF(DAY(FebDom1)=1,IF(AND(YEAR(FebDom1+8)=AñoCalendario,MONTH(FebDom1+8)=2),FebDom1+8,""),IF(AND(YEAR(FebDom1+15)=AñoCalendario,MONTH(FebDom1+15)=2),FebDom1+15,""))</f>
        <v>45334</v>
      </c>
      <c r="L7" s="31">
        <f>IF(DAY(FebDom1)=1,IF(AND(YEAR(FebDom1+9)=AñoCalendario,MONTH(FebDom1+9)=2),FebDom1+9,""),IF(AND(YEAR(FebDom1+16)=AñoCalendario,MONTH(FebDom1+16)=2),FebDom1+16,""))</f>
        <v>45335</v>
      </c>
      <c r="M7" s="43">
        <f>IF(DAY(FebDom1)=1,IF(AND(YEAR(FebDom1+10)=AñoCalendario,MONTH(FebDom1+10)=2),FebDom1+10,""),IF(AND(YEAR(FebDom1+17)=AñoCalendario,MONTH(FebDom1+17)=2),FebDom1+17,""))</f>
        <v>45336</v>
      </c>
      <c r="N7" s="28">
        <f>IF(DAY(FebDom1)=1,IF(AND(YEAR(FebDom1+11)=AñoCalendario,MONTH(FebDom1+11)=2),FebDom1+11,""),IF(AND(YEAR(FebDom1+18)=AñoCalendario,MONTH(FebDom1+18)=2),FebDom1+18,""))</f>
        <v>45337</v>
      </c>
      <c r="O7" s="28">
        <f>IF(DAY(FebDom1)=1,IF(AND(YEAR(FebDom1+12)=AñoCalendario,MONTH(FebDom1+12)=2),FebDom1+12,""),IF(AND(YEAR(FebDom1+19)=AñoCalendario,MONTH(FebDom1+19)=2),FebDom1+19,""))</f>
        <v>45338</v>
      </c>
      <c r="P7" s="28">
        <f>IF(DAY(FebDom1)=1,IF(AND(YEAR(FebDom1+13)=AñoCalendario,MONTH(FebDom1+13)=2),FebDom1+13,""),IF(AND(YEAR(FebDom1+20)=AñoCalendario,MONTH(FebDom1+20)=2),FebDom1+20,""))</f>
        <v>45339</v>
      </c>
      <c r="Q7" s="28">
        <f>IF(DAY(FebDom1)=1,IF(AND(YEAR(FebDom1+14)=AñoCalendario,MONTH(FebDom1+14)=2),FebDom1+14,""),IF(AND(YEAR(FebDom1+21)=AñoCalendario,MONTH(FebDom1+21)=2),FebDom1+21,""))</f>
        <v>45340</v>
      </c>
      <c r="S7" s="3"/>
      <c r="U7" s="39" t="s">
        <v>52</v>
      </c>
      <c r="V7" s="52"/>
      <c r="W7" s="52"/>
    </row>
    <row r="8" spans="1:41" ht="15" customHeight="1" x14ac:dyDescent="0.15">
      <c r="C8" s="54">
        <f>IF(DAY(EneDom1)=1,IF(AND(YEAR(EneDom1+15)=AñoCalendario,MONTH(EneDom1+15)=1),EneDom1+15,""),IF(AND(YEAR(EneDom1+22)=AñoCalendario,MONTH(EneDom1+22)=1),EneDom1+22,""))</f>
        <v>45313</v>
      </c>
      <c r="D8" s="31">
        <f>IF(DAY(EneDom1)=1,IF(AND(YEAR(EneDom1+16)=AñoCalendario,MONTH(EneDom1+16)=1),EneDom1+16,""),IF(AND(YEAR(EneDom1+23)=AñoCalendario,MONTH(EneDom1+23)=1),EneDom1+23,""))</f>
        <v>45314</v>
      </c>
      <c r="E8" s="42">
        <f>IF(DAY(EneDom1)=1,IF(AND(YEAR(EneDom1+17)=AñoCalendario,MONTH(EneDom1+17)=1),EneDom1+17,""),IF(AND(YEAR(EneDom1+24)=AñoCalendario,MONTH(EneDom1+24)=1),EneDom1+24,""))</f>
        <v>45315</v>
      </c>
      <c r="F8" s="28">
        <f>IF(DAY(EneDom1)=1,IF(AND(YEAR(EneDom1+18)=AñoCalendario,MONTH(EneDom1+18)=1),EneDom1+18,""),IF(AND(YEAR(EneDom1+25)=AñoCalendario,MONTH(EneDom1+25)=1),EneDom1+25,""))</f>
        <v>45316</v>
      </c>
      <c r="G8" s="28">
        <f>IF(DAY(EneDom1)=1,IF(AND(YEAR(EneDom1+19)=AñoCalendario,MONTH(EneDom1+19)=1),EneDom1+19,""),IF(AND(YEAR(EneDom1+26)=AñoCalendario,MONTH(EneDom1+26)=1),EneDom1+26,""))</f>
        <v>45317</v>
      </c>
      <c r="H8" s="28">
        <f>IF(DAY(EneDom1)=1,IF(AND(YEAR(EneDom1+20)=AñoCalendario,MONTH(EneDom1+20)=1),EneDom1+20,""),IF(AND(YEAR(EneDom1+27)=AñoCalendario,MONTH(EneDom1+27)=1),EneDom1+27,""))</f>
        <v>45318</v>
      </c>
      <c r="I8" s="28">
        <f>IF(DAY(EneDom1)=1,IF(AND(YEAR(EneDom1+21)=AñoCalendario,MONTH(EneDom1+21)=1),EneDom1+21,""),IF(AND(YEAR(EneDom1+28)=AñoCalendario,MONTH(EneDom1+28)=1),EneDom1+28,""))</f>
        <v>45319</v>
      </c>
      <c r="J8" s="1"/>
      <c r="K8" s="28">
        <f>IF(DAY(FebDom1)=1,IF(AND(YEAR(FebDom1+15)=AñoCalendario,MONTH(FebDom1+15)=2),FebDom1+15,""),IF(AND(YEAR(FebDom1+22)=AñoCalendario,MONTH(FebDom1+22)=2),FebDom1+22,""))</f>
        <v>45341</v>
      </c>
      <c r="L8" s="54">
        <f>IF(DAY(FebDom1)=1,IF(AND(YEAR(FebDom1+16)=AñoCalendario,MONTH(FebDom1+16)=2),FebDom1+16,""),IF(AND(YEAR(FebDom1+23)=AñoCalendario,MONTH(FebDom1+23)=2),FebDom1+23,""))</f>
        <v>45342</v>
      </c>
      <c r="M8" s="42">
        <f>IF(DAY(FebDom1)=1,IF(AND(YEAR(FebDom1+17)=AñoCalendario,MONTH(FebDom1+17)=2),FebDom1+17,""),IF(AND(YEAR(FebDom1+24)=AñoCalendario,MONTH(FebDom1+24)=2),FebDom1+24,""))</f>
        <v>45343</v>
      </c>
      <c r="N8" s="28">
        <f>IF(DAY(FebDom1)=1,IF(AND(YEAR(FebDom1+18)=AñoCalendario,MONTH(FebDom1+18)=2),FebDom1+18,""),IF(AND(YEAR(FebDom1+25)=AñoCalendario,MONTH(FebDom1+25)=2),FebDom1+25,""))</f>
        <v>45344</v>
      </c>
      <c r="O8" s="44">
        <f>IF(DAY(FebDom1)=1,IF(AND(YEAR(FebDom1+19)=AñoCalendario,MONTH(FebDom1+19)=2),FebDom1+19,""),IF(AND(YEAR(FebDom1+26)=AñoCalendario,MONTH(FebDom1+26)=2),FebDom1+26,""))</f>
        <v>45345</v>
      </c>
      <c r="P8" s="28">
        <f>IF(DAY(FebDom1)=1,IF(AND(YEAR(FebDom1+20)=AñoCalendario,MONTH(FebDom1+20)=2),FebDom1+20,""),IF(AND(YEAR(FebDom1+27)=AñoCalendario,MONTH(FebDom1+27)=2),FebDom1+27,""))</f>
        <v>45346</v>
      </c>
      <c r="Q8" s="28">
        <f>IF(DAY(FebDom1)=1,IF(AND(YEAR(FebDom1+21)=AñoCalendario,MONTH(FebDom1+21)=2),FebDom1+21,""),IF(AND(YEAR(FebDom1+28)=AñoCalendario,MONTH(FebDom1+28)=2),FebDom1+28,""))</f>
        <v>45347</v>
      </c>
      <c r="S8" s="3"/>
      <c r="U8" s="41" t="s">
        <v>49</v>
      </c>
      <c r="V8" s="52"/>
      <c r="W8" s="52"/>
    </row>
    <row r="9" spans="1:41" ht="15" customHeight="1" x14ac:dyDescent="0.15">
      <c r="C9" s="28">
        <f>IF(DAY(EneDom1)=1,IF(AND(YEAR(EneDom1+22)=AñoCalendario,MONTH(EneDom1+22)=1),EneDom1+22,""),IF(AND(YEAR(EneDom1+29)=AñoCalendario,MONTH(EneDom1+29)=1),EneDom1+29,""))</f>
        <v>45320</v>
      </c>
      <c r="D9" s="30">
        <f>IF(DAY(EneDom1)=1,IF(AND(YEAR(EneDom1+23)=AñoCalendario,MONTH(EneDom1+23)=1),EneDom1+23,""),IF(AND(YEAR(EneDom1+30)=AñoCalendario,MONTH(EneDom1+30)=1),EneDom1+30,""))</f>
        <v>45321</v>
      </c>
      <c r="E9" s="28">
        <f>IF(DAY(EneDom1)=1,IF(AND(YEAR(EneDom1+24)=AñoCalendario,MONTH(EneDom1+24)=1),EneDom1+24,""),IF(AND(YEAR(EneDom1+31)=AñoCalendario,MONTH(EneDom1+31)=1),EneDom1+31,""))</f>
        <v>45322</v>
      </c>
      <c r="F9" s="28" t="str">
        <f>IF(DAY(EneDom1)=1,IF(AND(YEAR(EneDom1+25)=AñoCalendario,MONTH(EneDom1+25)=1),EneDom1+25,""),IF(AND(YEAR(EneDom1+32)=AñoCalendario,MONTH(EneDom1+32)=1),EneDom1+32,""))</f>
        <v/>
      </c>
      <c r="G9" s="28" t="str">
        <f>IF(DAY(EneDom1)=1,IF(AND(YEAR(EneDom1+26)=AñoCalendario,MONTH(EneDom1+26)=1),EneDom1+26,""),IF(AND(YEAR(EneDom1+33)=AñoCalendario,MONTH(EneDom1+33)=1),EneDom1+33,""))</f>
        <v/>
      </c>
      <c r="H9" s="28" t="str">
        <f>IF(DAY(EneDom1)=1,IF(AND(YEAR(EneDom1+27)=AñoCalendario,MONTH(EneDom1+27)=1),EneDom1+27,""),IF(AND(YEAR(EneDom1+34)=AñoCalendario,MONTH(EneDom1+34)=1),EneDom1+34,""))</f>
        <v/>
      </c>
      <c r="I9" s="28" t="str">
        <f>IF(DAY(EneDom1)=1,IF(AND(YEAR(EneDom1+28)=AñoCalendario,MONTH(EneDom1+28)=1),EneDom1+28,""),IF(AND(YEAR(EneDom1+35)=AñoCalendario,MONTH(EneDom1+35)=1),EneDom1+35,""))</f>
        <v/>
      </c>
      <c r="J9" s="1"/>
      <c r="K9" s="28">
        <f>IF(DAY(FebDom1)=1,IF(AND(YEAR(FebDom1+22)=AñoCalendario,MONTH(FebDom1+22)=2),FebDom1+22,""),IF(AND(YEAR(FebDom1+29)=AñoCalendario,MONTH(FebDom1+29)=2),FebDom1+29,""))</f>
        <v>45348</v>
      </c>
      <c r="L9" s="30">
        <f>IF(DAY(FebDom1)=1,IF(AND(YEAR(FebDom1+23)=AñoCalendario,MONTH(FebDom1+23)=2),FebDom1+23,""),IF(AND(YEAR(FebDom1+30)=AñoCalendario,MONTH(FebDom1+30)=2),FebDom1+30,""))</f>
        <v>45349</v>
      </c>
      <c r="M9" s="28">
        <f>IF(DAY(FebDom1)=1,IF(AND(YEAR(FebDom1+24)=AñoCalendario,MONTH(FebDom1+24)=2),FebDom1+24,""),IF(AND(YEAR(FebDom1+31)=AñoCalendario,MONTH(FebDom1+31)=2),FebDom1+31,""))</f>
        <v>45350</v>
      </c>
      <c r="N9" s="28">
        <f>IF(DAY(FebDom1)=1,IF(AND(YEAR(FebDom1+25)=AñoCalendario,MONTH(FebDom1+25)=2),FebDom1+25,""),IF(AND(YEAR(FebDom1+32)=AñoCalendario,MONTH(FebDom1+32)=2),FebDom1+32,""))</f>
        <v>45351</v>
      </c>
      <c r="O9" s="28" t="str">
        <f>IF(DAY(FebDom1)=1,IF(AND(YEAR(FebDom1+26)=AñoCalendario,MONTH(FebDom1+26)=2),FebDom1+26,""),IF(AND(YEAR(FebDom1+33)=AñoCalendario,MONTH(FebDom1+33)=2),FebDom1+33,""))</f>
        <v/>
      </c>
      <c r="P9" s="28" t="str">
        <f>IF(DAY(FebDom1)=1,IF(AND(YEAR(FebDom1+27)=AñoCalendario,MONTH(FebDom1+27)=2),FebDom1+27,""),IF(AND(YEAR(FebDom1+34)=AñoCalendario,MONTH(FebDom1+34)=2),FebDom1+34,""))</f>
        <v/>
      </c>
      <c r="Q9" s="28" t="str">
        <f>IF(DAY(FebDom1)=1,IF(AND(YEAR(FebDom1+28)=AñoCalendario,MONTH(FebDom1+28)=2),FebDom1+28,""),IF(AND(YEAR(FebDom1+35)=AñoCalendario,MONTH(FebDom1+35)=2),FebDom1+35,""))</f>
        <v/>
      </c>
      <c r="S9" s="3"/>
      <c r="U9" s="35" t="s">
        <v>48</v>
      </c>
      <c r="V9" s="52"/>
      <c r="W9" s="52"/>
    </row>
    <row r="10" spans="1:41" ht="15" customHeight="1" x14ac:dyDescent="0.15">
      <c r="C10" s="28" t="str">
        <f>IF(DAY(EneDom1)=1,IF(AND(YEAR(EneDom1+29)=AñoCalendario,MONTH(EneDom1+29)=1),EneDom1+29,""),IF(AND(YEAR(EneDom1+36)=AñoCalendario,MONTH(EneDom1+36)=1),EneDom1+36,""))</f>
        <v/>
      </c>
      <c r="D10" s="28" t="str">
        <f>IF(DAY(EneDom1)=1,IF(AND(YEAR(EneDom1+30)=AñoCalendario,MONTH(EneDom1+30)=1),EneDom1+30,""),IF(AND(YEAR(EneDom1+37)=AñoCalendario,MONTH(EneDom1+37)=1),EneDom1+37,""))</f>
        <v/>
      </c>
      <c r="E10" s="28" t="str">
        <f>IF(DAY(EneDom1)=1,IF(AND(YEAR(EneDom1+31)=AñoCalendario,MONTH(EneDom1+31)=1),EneDom1+31,""),IF(AND(YEAR(EneDom1+38)=AñoCalendario,MONTH(EneDom1+38)=1),EneDom1+38,""))</f>
        <v/>
      </c>
      <c r="F10" s="28" t="str">
        <f>IF(DAY(EneDom1)=1,IF(AND(YEAR(EneDom1+32)=AñoCalendario,MONTH(EneDom1+32)=1),EneDom1+32,""),IF(AND(YEAR(EneDom1+39)=AñoCalendario,MONTH(EneDom1+39)=1),EneDom1+39,""))</f>
        <v/>
      </c>
      <c r="G10" s="28" t="str">
        <f>IF(DAY(EneDom1)=1,IF(AND(YEAR(EneDom1+33)=AñoCalendario,MONTH(EneDom1+33)=1),EneDom1+33,""),IF(AND(YEAR(EneDom1+40)=AñoCalendario,MONTH(EneDom1+40)=1),EneDom1+40,""))</f>
        <v/>
      </c>
      <c r="H10" s="28" t="str">
        <f>IF(DAY(EneDom1)=1,IF(AND(YEAR(EneDom1+34)=AñoCalendario,MONTH(EneDom1+34)=1),EneDom1+34,""),IF(AND(YEAR(EneDom1+41)=AñoCalendario,MONTH(EneDom1+41)=1),EneDom1+41,""))</f>
        <v/>
      </c>
      <c r="I10" s="28" t="str">
        <f>IF(DAY(EneDom1)=1,IF(AND(YEAR(EneDom1+35)=AñoCalendario,MONTH(EneDom1+35)=1),EneDom1+35,""),IF(AND(YEAR(EneDom1+42)=AñoCalendario,MONTH(EneDom1+42)=1),EneDom1+42,""))</f>
        <v/>
      </c>
      <c r="J10" s="1"/>
      <c r="K10" s="28" t="str">
        <f>IF(DAY(FebDom1)=1,IF(AND(YEAR(FebDom1+29)=AñoCalendario,MONTH(FebDom1+29)=2),FebDom1+29,""),IF(AND(YEAR(FebDom1+36)=AñoCalendario,MONTH(FebDom1+36)=2),FebDom1+36,""))</f>
        <v/>
      </c>
      <c r="L10" s="28" t="str">
        <f>IF(DAY(FebDom1)=1,IF(AND(YEAR(FebDom1+30)=AñoCalendario,MONTH(FebDom1+30)=2),FebDom1+30,""),IF(AND(YEAR(FebDom1+37)=AñoCalendario,MONTH(FebDom1+37)=2),FebDom1+37,""))</f>
        <v/>
      </c>
      <c r="M10" s="28" t="str">
        <f>IF(DAY(FebDom1)=1,IF(AND(YEAR(FebDom1+31)=AñoCalendario,MONTH(FebDom1+31)=2),FebDom1+31,""),IF(AND(YEAR(FebDom1+38)=AñoCalendario,MONTH(FebDom1+38)=2),FebDom1+38,""))</f>
        <v/>
      </c>
      <c r="N10" s="28" t="str">
        <f>IF(DAY(FebDom1)=1,IF(AND(YEAR(FebDom1+32)=AñoCalendario,MONTH(FebDom1+32)=2),FebDom1+32,""),IF(AND(YEAR(FebDom1+39)=AñoCalendario,MONTH(FebDom1+39)=2),FebDom1+39,""))</f>
        <v/>
      </c>
      <c r="O10" s="28" t="str">
        <f>IF(DAY(FebDom1)=1,IF(AND(YEAR(FebDom1+33)=AñoCalendario,MONTH(FebDom1+33)=2),FebDom1+33,""),IF(AND(YEAR(FebDom1+40)=AñoCalendario,MONTH(FebDom1+40)=2),FebDom1+40,""))</f>
        <v/>
      </c>
      <c r="P10" s="28" t="str">
        <f>IF(DAY(FebDom1)=1,IF(AND(YEAR(FebDom1+34)=AñoCalendario,MONTH(FebDom1+34)=2),FebDom1+34,""),IF(AND(YEAR(FebDom1+41)=AñoCalendario,MONTH(FebDom1+41)=2),FebDom1+41,""))</f>
        <v/>
      </c>
      <c r="Q10" s="28" t="str">
        <f>IF(DAY(FebDom1)=1,IF(AND(YEAR(FebDom1+35)=AñoCalendario,MONTH(FebDom1+35)=2),FebDom1+35,""),IF(AND(YEAR(FebDom1+42)=AñoCalendario,MONTH(FebDom1+42)=2),FebDom1+42,""))</f>
        <v/>
      </c>
      <c r="S10" s="3"/>
      <c r="U10" s="36" t="s">
        <v>53</v>
      </c>
      <c r="V10" s="52"/>
      <c r="W10" s="52"/>
    </row>
    <row r="11" spans="1:41" ht="15" customHeight="1" x14ac:dyDescent="0.15">
      <c r="C11" s="1"/>
      <c r="D11" s="1"/>
      <c r="E11" s="1"/>
      <c r="F11" s="1"/>
      <c r="G11" s="1"/>
      <c r="H11" s="1"/>
      <c r="I11" s="1"/>
      <c r="J11" s="1"/>
      <c r="K11" s="1"/>
      <c r="L11" s="1"/>
      <c r="M11" s="1"/>
      <c r="N11" s="1"/>
      <c r="O11" s="1"/>
      <c r="P11" s="1"/>
      <c r="Q11" s="1"/>
      <c r="S11" s="3"/>
      <c r="U11" s="45" t="s">
        <v>50</v>
      </c>
      <c r="V11" s="52"/>
      <c r="W11" s="52"/>
    </row>
    <row r="12" spans="1:41" ht="15" customHeight="1" x14ac:dyDescent="0.2">
      <c r="A12" s="23" t="s">
        <v>33</v>
      </c>
      <c r="C12" s="49" t="s">
        <v>9</v>
      </c>
      <c r="D12" s="49"/>
      <c r="E12" s="49"/>
      <c r="F12" s="49"/>
      <c r="G12" s="49"/>
      <c r="H12" s="49"/>
      <c r="I12" s="49"/>
      <c r="K12" s="49" t="s">
        <v>21</v>
      </c>
      <c r="L12" s="49"/>
      <c r="M12" s="49"/>
      <c r="N12" s="49"/>
      <c r="O12" s="49"/>
      <c r="P12" s="49"/>
      <c r="Q12" s="49"/>
      <c r="S12" s="26"/>
      <c r="U12" s="46" t="s">
        <v>51</v>
      </c>
      <c r="V12" s="52"/>
      <c r="W12" s="52"/>
      <c r="X12" s="27"/>
      <c r="Y12" s="27"/>
      <c r="AA12" s="27"/>
      <c r="AB12" s="27"/>
      <c r="AC12" s="27"/>
      <c r="AD12" s="27"/>
      <c r="AE12" s="27"/>
      <c r="AF12" s="27"/>
      <c r="AG12" s="27"/>
      <c r="AI12" s="27"/>
      <c r="AJ12" s="27"/>
      <c r="AK12" s="27"/>
      <c r="AL12" s="27"/>
      <c r="AM12" s="27"/>
      <c r="AN12" s="27"/>
      <c r="AO12" s="27"/>
    </row>
    <row r="13" spans="1:41" ht="15" customHeight="1" x14ac:dyDescent="0.2">
      <c r="A13" s="23" t="s">
        <v>34</v>
      </c>
      <c r="C13" s="16" t="s">
        <v>27</v>
      </c>
      <c r="D13" s="16" t="s">
        <v>14</v>
      </c>
      <c r="E13" s="16" t="s">
        <v>15</v>
      </c>
      <c r="F13" s="16" t="s">
        <v>16</v>
      </c>
      <c r="G13" s="16" t="s">
        <v>17</v>
      </c>
      <c r="H13" s="16" t="s">
        <v>18</v>
      </c>
      <c r="I13" s="16" t="s">
        <v>19</v>
      </c>
      <c r="J13" s="2"/>
      <c r="K13" s="16" t="s">
        <v>27</v>
      </c>
      <c r="L13" s="16" t="s">
        <v>14</v>
      </c>
      <c r="M13" s="16" t="s">
        <v>15</v>
      </c>
      <c r="N13" s="16" t="s">
        <v>16</v>
      </c>
      <c r="O13" s="16" t="s">
        <v>17</v>
      </c>
      <c r="P13" s="16" t="s">
        <v>18</v>
      </c>
      <c r="Q13" s="16" t="s">
        <v>19</v>
      </c>
      <c r="S13" s="3"/>
      <c r="V13" s="52"/>
      <c r="W13" s="52"/>
    </row>
    <row r="14" spans="1:41" ht="15" customHeight="1" x14ac:dyDescent="0.15">
      <c r="C14" s="28" t="str">
        <f>IF(DAY(MarDom1)=1,"",IF(AND(YEAR(MarDom1+1)=AñoCalendario,MONTH(MarDom1+1)=3),MarDom1+1,""))</f>
        <v/>
      </c>
      <c r="D14" s="28" t="str">
        <f>IF(DAY(MarDom1)=1,"",IF(AND(YEAR(MarDom1+2)=AñoCalendario,MONTH(MarDom1+2)=3),MarDom1+2,""))</f>
        <v/>
      </c>
      <c r="E14" s="28" t="str">
        <f>IF(DAY(MarDom1)=1,"",IF(AND(YEAR(MarDom1+3)=AñoCalendario,MONTH(MarDom1+3)=3),MarDom1+3,""))</f>
        <v/>
      </c>
      <c r="F14" s="28" t="str">
        <f>IF(DAY(MarDom1)=1,"",IF(AND(YEAR(MarDom1+4)=AñoCalendario,MONTH(MarDom1+4)=3),MarDom1+4,""))</f>
        <v/>
      </c>
      <c r="G14" s="28">
        <f>IF(DAY(MarDom1)=1,"",IF(AND(YEAR(MarDom1+5)=AñoCalendario,MONTH(MarDom1+5)=3),MarDom1+5,""))</f>
        <v>45352</v>
      </c>
      <c r="H14" s="28">
        <f>IF(DAY(MarDom1)=1,"",IF(AND(YEAR(MarDom1+6)=AñoCalendario,MONTH(MarDom1+6)=3),MarDom1+6,""))</f>
        <v>45353</v>
      </c>
      <c r="I14" s="28">
        <f>IF(DAY(MarDom1)=1,IF(AND(YEAR(MarDom1)=AñoCalendario,MONTH(MarDom1)=3),MarDom1,""),IF(AND(YEAR(MarDom1+7)=AñoCalendario,MONTH(MarDom1+7)=3),MarDom1+7,""))</f>
        <v>45354</v>
      </c>
      <c r="J14" s="1"/>
      <c r="K14" s="28">
        <f>IF(DAY(AbrDom1)=1,"",IF(AND(YEAR(AbrDom1+1)=AñoCalendario,MONTH(AbrDom1+1)=4),AbrDom1+1,""))</f>
        <v>45383</v>
      </c>
      <c r="L14" s="28">
        <f>IF(DAY(AbrDom1)=1,"",IF(AND(YEAR(AbrDom1+2)=AñoCalendario,MONTH(AbrDom1+2)=4),AbrDom1+2,""))</f>
        <v>45384</v>
      </c>
      <c r="M14" s="28">
        <f>IF(DAY(AbrDom1)=1,"",IF(AND(YEAR(AbrDom1+3)=AñoCalendario,MONTH(AbrDom1+3)=4),AbrDom1+3,""))</f>
        <v>45385</v>
      </c>
      <c r="N14" s="28">
        <f>IF(DAY(AbrDom1)=1,"",IF(AND(YEAR(AbrDom1+4)=AñoCalendario,MONTH(AbrDom1+4)=4),AbrDom1+4,""))</f>
        <v>45386</v>
      </c>
      <c r="O14" s="28">
        <f>IF(DAY(AbrDom1)=1,"",IF(AND(YEAR(AbrDom1+5)=AñoCalendario,MONTH(AbrDom1+5)=4),AbrDom1+5,""))</f>
        <v>45387</v>
      </c>
      <c r="P14" s="28">
        <f>IF(DAY(AbrDom1)=1,"",IF(AND(YEAR(AbrDom1+6)=AñoCalendario,MONTH(AbrDom1+6)=4),AbrDom1+6,""))</f>
        <v>45388</v>
      </c>
      <c r="Q14" s="28">
        <f>IF(DAY(AbrDom1)=1,IF(AND(YEAR(AbrDom1)=AñoCalendario,MONTH(AbrDom1)=4),AbrDom1,""),IF(AND(YEAR(AbrDom1+7)=AñoCalendario,MONTH(AbrDom1+7)=4),AbrDom1+7,""))</f>
        <v>45389</v>
      </c>
      <c r="S14" s="3"/>
      <c r="V14" s="52"/>
      <c r="W14" s="52"/>
    </row>
    <row r="15" spans="1:41" ht="15" customHeight="1" x14ac:dyDescent="0.15">
      <c r="A15" s="23"/>
      <c r="C15" s="28">
        <f>IF(DAY(MarDom1)=1,IF(AND(YEAR(MarDom1+1)=AñoCalendario,MONTH(MarDom1+1)=3),MarDom1+1,""),IF(AND(YEAR(MarDom1+8)=AñoCalendario,MONTH(MarDom1+8)=3),MarDom1+8,""))</f>
        <v>45355</v>
      </c>
      <c r="D15" s="28">
        <f>IF(DAY(MarDom1)=1,IF(AND(YEAR(MarDom1+2)=AñoCalendario,MONTH(MarDom1+2)=3),MarDom1+2,""),IF(AND(YEAR(MarDom1+9)=AñoCalendario,MONTH(MarDom1+9)=3),MarDom1+9,""))</f>
        <v>45356</v>
      </c>
      <c r="E15" s="28">
        <f>IF(DAY(MarDom1)=1,IF(AND(YEAR(MarDom1+3)=AñoCalendario,MONTH(MarDom1+3)=3),MarDom1+3,""),IF(AND(YEAR(MarDom1+10)=AñoCalendario,MONTH(MarDom1+10)=3),MarDom1+10,""))</f>
        <v>45357</v>
      </c>
      <c r="F15" s="28">
        <f>IF(DAY(MarDom1)=1,IF(AND(YEAR(MarDom1+4)=AñoCalendario,MONTH(MarDom1+4)=3),MarDom1+4,""),IF(AND(YEAR(MarDom1+11)=AñoCalendario,MONTH(MarDom1+11)=3),MarDom1+11,""))</f>
        <v>45358</v>
      </c>
      <c r="G15" s="28">
        <f>IF(DAY(MarDom1)=1,IF(AND(YEAR(MarDom1+5)=AñoCalendario,MONTH(MarDom1+5)=3),MarDom1+5,""),IF(AND(YEAR(MarDom1+12)=AñoCalendario,MONTH(MarDom1+12)=3),MarDom1+12,""))</f>
        <v>45359</v>
      </c>
      <c r="H15" s="28">
        <f>IF(DAY(MarDom1)=1,IF(AND(YEAR(MarDom1+6)=AñoCalendario,MONTH(MarDom1+6)=3),MarDom1+6,""),IF(AND(YEAR(MarDom1+13)=AñoCalendario,MONTH(MarDom1+13)=3),MarDom1+13,""))</f>
        <v>45360</v>
      </c>
      <c r="I15" s="28">
        <f>IF(DAY(MarDom1)=1,IF(AND(YEAR(MarDom1+7)=AñoCalendario,MONTH(MarDom1+7)=3),MarDom1+7,""),IF(AND(YEAR(MarDom1+14)=AñoCalendario,MONTH(MarDom1+14)=3),MarDom1+14,""))</f>
        <v>45361</v>
      </c>
      <c r="J15" s="1"/>
      <c r="K15" s="28">
        <f>IF(DAY(AbrDom1)=1,IF(AND(YEAR(AbrDom1+1)=AñoCalendario,MONTH(AbrDom1+1)=4),AbrDom1+1,""),IF(AND(YEAR(AbrDom1+8)=AñoCalendario,MONTH(AbrDom1+8)=4),AbrDom1+8,""))</f>
        <v>45390</v>
      </c>
      <c r="L15" s="31">
        <f>IF(DAY(AbrDom1)=1,IF(AND(YEAR(AbrDom1+2)=AñoCalendario,MONTH(AbrDom1+2)=4),AbrDom1+2,""),IF(AND(YEAR(AbrDom1+9)=AñoCalendario,MONTH(AbrDom1+9)=4),AbrDom1+9,""))</f>
        <v>45391</v>
      </c>
      <c r="M15" s="28">
        <f>IF(DAY(AbrDom1)=1,IF(AND(YEAR(AbrDom1+3)=AñoCalendario,MONTH(AbrDom1+3)=4),AbrDom1+3,""),IF(AND(YEAR(AbrDom1+10)=AñoCalendario,MONTH(AbrDom1+10)=4),AbrDom1+10,""))</f>
        <v>45392</v>
      </c>
      <c r="N15" s="28">
        <f>IF(DAY(AbrDom1)=1,IF(AND(YEAR(AbrDom1+4)=AñoCalendario,MONTH(AbrDom1+4)=4),AbrDom1+4,""),IF(AND(YEAR(AbrDom1+11)=AñoCalendario,MONTH(AbrDom1+11)=4),AbrDom1+11,""))</f>
        <v>45393</v>
      </c>
      <c r="O15" s="28">
        <f>IF(DAY(AbrDom1)=1,IF(AND(YEAR(AbrDom1+5)=AñoCalendario,MONTH(AbrDom1+5)=4),AbrDom1+5,""),IF(AND(YEAR(AbrDom1+12)=AñoCalendario,MONTH(AbrDom1+12)=4),AbrDom1+12,""))</f>
        <v>45394</v>
      </c>
      <c r="P15" s="28">
        <f>IF(DAY(AbrDom1)=1,IF(AND(YEAR(AbrDom1+6)=AñoCalendario,MONTH(AbrDom1+6)=4),AbrDom1+6,""),IF(AND(YEAR(AbrDom1+13)=AñoCalendario,MONTH(AbrDom1+13)=4),AbrDom1+13,""))</f>
        <v>45395</v>
      </c>
      <c r="Q15" s="28">
        <f>IF(DAY(AbrDom1)=1,IF(AND(YEAR(AbrDom1+7)=AñoCalendario,MONTH(AbrDom1+7)=4),AbrDom1+7,""),IF(AND(YEAR(AbrDom1+14)=AñoCalendario,MONTH(AbrDom1+14)=4),AbrDom1+14,""))</f>
        <v>45396</v>
      </c>
      <c r="S15" s="3"/>
      <c r="V15" s="52"/>
      <c r="W15" s="52"/>
    </row>
    <row r="16" spans="1:41" ht="15" customHeight="1" x14ac:dyDescent="0.15">
      <c r="C16" s="28">
        <f>IF(DAY(MarDom1)=1,IF(AND(YEAR(MarDom1+8)=AñoCalendario,MONTH(MarDom1+8)=3),MarDom1+8,""),IF(AND(YEAR(MarDom1+15)=AñoCalendario,MONTH(MarDom1+15)=3),MarDom1+15,""))</f>
        <v>45362</v>
      </c>
      <c r="D16" s="31">
        <f>IF(DAY(MarDom1)=1,IF(AND(YEAR(MarDom1+9)=AñoCalendario,MONTH(MarDom1+9)=3),MarDom1+9,""),IF(AND(YEAR(MarDom1+16)=AñoCalendario,MONTH(MarDom1+16)=3),MarDom1+16,""))</f>
        <v>45363</v>
      </c>
      <c r="E16" s="42">
        <f>IF(DAY(MarDom1)=1,IF(AND(YEAR(MarDom1+10)=AñoCalendario,MONTH(MarDom1+10)=3),MarDom1+10,""),IF(AND(YEAR(MarDom1+17)=AñoCalendario,MONTH(MarDom1+17)=3),MarDom1+17,""))</f>
        <v>45364</v>
      </c>
      <c r="F16" s="28">
        <f>IF(DAY(MarDom1)=1,IF(AND(YEAR(MarDom1+11)=AñoCalendario,MONTH(MarDom1+11)=3),MarDom1+11,""),IF(AND(YEAR(MarDom1+18)=AñoCalendario,MONTH(MarDom1+18)=3),MarDom1+18,""))</f>
        <v>45365</v>
      </c>
      <c r="G16" s="28">
        <f>IF(DAY(MarDom1)=1,IF(AND(YEAR(MarDom1+12)=AñoCalendario,MONTH(MarDom1+12)=3),MarDom1+12,""),IF(AND(YEAR(MarDom1+19)=AñoCalendario,MONTH(MarDom1+19)=3),MarDom1+19,""))</f>
        <v>45366</v>
      </c>
      <c r="H16" s="28">
        <f>IF(DAY(MarDom1)=1,IF(AND(YEAR(MarDom1+13)=AñoCalendario,MONTH(MarDom1+13)=3),MarDom1+13,""),IF(AND(YEAR(MarDom1+20)=AñoCalendario,MONTH(MarDom1+20)=3),MarDom1+20,""))</f>
        <v>45367</v>
      </c>
      <c r="I16" s="28">
        <f>IF(DAY(MarDom1)=1,IF(AND(YEAR(MarDom1+14)=AñoCalendario,MONTH(MarDom1+14)=3),MarDom1+14,""),IF(AND(YEAR(MarDom1+21)=AñoCalendario,MONTH(MarDom1+21)=3),MarDom1+21,""))</f>
        <v>45368</v>
      </c>
      <c r="J16" s="1"/>
      <c r="K16" s="28">
        <f>IF(DAY(AbrDom1)=1,IF(AND(YEAR(AbrDom1+8)=AñoCalendario,MONTH(AbrDom1+8)=4),AbrDom1+8,""),IF(AND(YEAR(AbrDom1+15)=AñoCalendario,MONTH(AbrDom1+15)=4),AbrDom1+15,""))</f>
        <v>45397</v>
      </c>
      <c r="L16" s="28">
        <f>IF(DAY(AbrDom1)=1,IF(AND(YEAR(AbrDom1+9)=AñoCalendario,MONTH(AbrDom1+9)=4),AbrDom1+9,""),IF(AND(YEAR(AbrDom1+16)=AñoCalendario,MONTH(AbrDom1+16)=4),AbrDom1+16,""))</f>
        <v>45398</v>
      </c>
      <c r="M16" s="28">
        <f>IF(DAY(AbrDom1)=1,IF(AND(YEAR(AbrDom1+10)=AñoCalendario,MONTH(AbrDom1+10)=4),AbrDom1+10,""),IF(AND(YEAR(AbrDom1+17)=AñoCalendario,MONTH(AbrDom1+17)=4),AbrDom1+17,""))</f>
        <v>45399</v>
      </c>
      <c r="N16" s="28">
        <f>IF(DAY(AbrDom1)=1,IF(AND(YEAR(AbrDom1+11)=AñoCalendario,MONTH(AbrDom1+11)=4),AbrDom1+11,""),IF(AND(YEAR(AbrDom1+18)=AñoCalendario,MONTH(AbrDom1+18)=4),AbrDom1+18,""))</f>
        <v>45400</v>
      </c>
      <c r="O16" s="28">
        <f>IF(DAY(AbrDom1)=1,IF(AND(YEAR(AbrDom1+12)=AñoCalendario,MONTH(AbrDom1+12)=4),AbrDom1+12,""),IF(AND(YEAR(AbrDom1+19)=AñoCalendario,MONTH(AbrDom1+19)=4),AbrDom1+19,""))</f>
        <v>45401</v>
      </c>
      <c r="P16" s="28">
        <f>IF(DAY(AbrDom1)=1,IF(AND(YEAR(AbrDom1+13)=AñoCalendario,MONTH(AbrDom1+13)=4),AbrDom1+13,""),IF(AND(YEAR(AbrDom1+20)=AñoCalendario,MONTH(AbrDom1+20)=4),AbrDom1+20,""))</f>
        <v>45402</v>
      </c>
      <c r="Q16" s="28">
        <f>IF(DAY(AbrDom1)=1,IF(AND(YEAR(AbrDom1+14)=AñoCalendario,MONTH(AbrDom1+14)=4),AbrDom1+14,""),IF(AND(YEAR(AbrDom1+21)=AñoCalendario,MONTH(AbrDom1+21)=4),AbrDom1+21,""))</f>
        <v>45403</v>
      </c>
      <c r="S16" s="3"/>
      <c r="V16" s="52"/>
      <c r="W16" s="52"/>
    </row>
    <row r="17" spans="1:41" ht="15" customHeight="1" x14ac:dyDescent="0.15">
      <c r="C17" s="28">
        <f>IF(DAY(MarDom1)=1,IF(AND(YEAR(MarDom1+15)=AñoCalendario,MONTH(MarDom1+15)=3),MarDom1+15,""),IF(AND(YEAR(MarDom1+22)=AñoCalendario,MONTH(MarDom1+22)=3),MarDom1+22,""))</f>
        <v>45369</v>
      </c>
      <c r="D17" s="30">
        <f>IF(DAY(MarDom1)=1,IF(AND(YEAR(MarDom1+16)=AñoCalendario,MONTH(MarDom1+16)=3),MarDom1+16,""),IF(AND(YEAR(MarDom1+23)=AñoCalendario,MONTH(MarDom1+23)=3),MarDom1+23,""))</f>
        <v>45370</v>
      </c>
      <c r="E17" s="54">
        <f>IF(DAY(MarDom1)=1,IF(AND(YEAR(MarDom1+17)=AñoCalendario,MONTH(MarDom1+17)=3),MarDom1+17,""),IF(AND(YEAR(MarDom1+24)=AñoCalendario,MONTH(MarDom1+24)=3),MarDom1+24,""))</f>
        <v>45371</v>
      </c>
      <c r="F17" s="28">
        <f>IF(DAY(MarDom1)=1,IF(AND(YEAR(MarDom1+18)=AñoCalendario,MONTH(MarDom1+18)=3),MarDom1+18,""),IF(AND(YEAR(MarDom1+25)=AñoCalendario,MONTH(MarDom1+25)=3),MarDom1+25,""))</f>
        <v>45372</v>
      </c>
      <c r="G17" s="32">
        <f>IF(DAY(MarDom1)=1,IF(AND(YEAR(MarDom1+19)=AñoCalendario,MONTH(MarDom1+19)=3),MarDom1+19,""),IF(AND(YEAR(MarDom1+26)=AñoCalendario,MONTH(MarDom1+26)=3),MarDom1+26,""))</f>
        <v>45373</v>
      </c>
      <c r="H17" s="28">
        <f>IF(DAY(MarDom1)=1,IF(AND(YEAR(MarDom1+20)=AñoCalendario,MONTH(MarDom1+20)=3),MarDom1+20,""),IF(AND(YEAR(MarDom1+27)=AñoCalendario,MONTH(MarDom1+27)=3),MarDom1+27,""))</f>
        <v>45374</v>
      </c>
      <c r="I17" s="28">
        <f>IF(DAY(MarDom1)=1,IF(AND(YEAR(MarDom1+21)=AñoCalendario,MONTH(MarDom1+21)=3),MarDom1+21,""),IF(AND(YEAR(MarDom1+28)=AñoCalendario,MONTH(MarDom1+28)=3),MarDom1+28,""))</f>
        <v>45375</v>
      </c>
      <c r="J17" s="1"/>
      <c r="K17" s="28">
        <f>IF(DAY(AbrDom1)=1,IF(AND(YEAR(AbrDom1+15)=AñoCalendario,MONTH(AbrDom1+15)=4),AbrDom1+15,""),IF(AND(YEAR(AbrDom1+22)=AñoCalendario,MONTH(AbrDom1+22)=4),AbrDom1+22,""))</f>
        <v>45404</v>
      </c>
      <c r="L17" s="54">
        <f>IF(DAY(AbrDom1)=1,IF(AND(YEAR(AbrDom1+16)=AñoCalendario,MONTH(AbrDom1+16)=4),AbrDom1+16,""),IF(AND(YEAR(AbrDom1+23)=AñoCalendario,MONTH(AbrDom1+23)=4),AbrDom1+23,""))</f>
        <v>45405</v>
      </c>
      <c r="M17" s="42">
        <f>IF(DAY(AbrDom1)=1,IF(AND(YEAR(AbrDom1+17)=AñoCalendario,MONTH(AbrDom1+17)=4),AbrDom1+17,""),IF(AND(YEAR(AbrDom1+24)=AñoCalendario,MONTH(AbrDom1+24)=4),AbrDom1+24,""))</f>
        <v>45406</v>
      </c>
      <c r="N17" s="28">
        <f>IF(DAY(AbrDom1)=1,IF(AND(YEAR(AbrDom1+18)=AñoCalendario,MONTH(AbrDom1+18)=4),AbrDom1+18,""),IF(AND(YEAR(AbrDom1+25)=AñoCalendario,MONTH(AbrDom1+25)=4),AbrDom1+25,""))</f>
        <v>45407</v>
      </c>
      <c r="O17" s="28">
        <f>IF(DAY(AbrDom1)=1,IF(AND(YEAR(AbrDom1+19)=AñoCalendario,MONTH(AbrDom1+19)=4),AbrDom1+19,""),IF(AND(YEAR(AbrDom1+26)=AñoCalendario,MONTH(AbrDom1+26)=4),AbrDom1+26,""))</f>
        <v>45408</v>
      </c>
      <c r="P17" s="28">
        <f>IF(DAY(AbrDom1)=1,IF(AND(YEAR(AbrDom1+20)=AñoCalendario,MONTH(AbrDom1+20)=4),AbrDom1+20,""),IF(AND(YEAR(AbrDom1+27)=AñoCalendario,MONTH(AbrDom1+27)=4),AbrDom1+27,""))</f>
        <v>45409</v>
      </c>
      <c r="Q17" s="28">
        <f>IF(DAY(AbrDom1)=1,IF(AND(YEAR(AbrDom1+21)=AñoCalendario,MONTH(AbrDom1+21)=4),AbrDom1+21,""),IF(AND(YEAR(AbrDom1+28)=AñoCalendario,MONTH(AbrDom1+28)=4),AbrDom1+28,""))</f>
        <v>45410</v>
      </c>
      <c r="S17" s="3"/>
      <c r="U17" s="53"/>
      <c r="V17" s="52"/>
      <c r="W17" s="52"/>
    </row>
    <row r="18" spans="1:41" ht="15" customHeight="1" x14ac:dyDescent="0.15">
      <c r="C18" s="29">
        <f>IF(DAY(MarDom1)=1,IF(AND(YEAR(MarDom1+22)=AñoCalendario,MONTH(MarDom1+22)=3),MarDom1+22,""),IF(AND(YEAR(MarDom1+29)=AñoCalendario,MONTH(MarDom1+29)=3),MarDom1+29,""))</f>
        <v>45376</v>
      </c>
      <c r="D18" s="28">
        <f>IF(DAY(MarDom1)=1,IF(AND(YEAR(MarDom1+23)=AñoCalendario,MONTH(MarDom1+23)=3),MarDom1+23,""),IF(AND(YEAR(MarDom1+30)=AñoCalendario,MONTH(MarDom1+30)=3),MarDom1+30,""))</f>
        <v>45377</v>
      </c>
      <c r="E18" s="28">
        <f>IF(DAY(MarDom1)=1,IF(AND(YEAR(MarDom1+24)=AñoCalendario,MONTH(MarDom1+24)=3),MarDom1+24,""),IF(AND(YEAR(MarDom1+31)=AñoCalendario,MONTH(MarDom1+31)=3),MarDom1+31,""))</f>
        <v>45378</v>
      </c>
      <c r="F18" s="29">
        <f>IF(DAY(MarDom1)=1,IF(AND(YEAR(MarDom1+25)=AñoCalendario,MONTH(MarDom1+25)=3),MarDom1+25,""),IF(AND(YEAR(MarDom1+32)=AñoCalendario,MONTH(MarDom1+32)=3),MarDom1+32,""))</f>
        <v>45379</v>
      </c>
      <c r="G18" s="29">
        <f>IF(DAY(MarDom1)=1,IF(AND(YEAR(MarDom1+26)=AñoCalendario,MONTH(MarDom1+26)=3),MarDom1+26,""),IF(AND(YEAR(MarDom1+33)=AñoCalendario,MONTH(MarDom1+33)=3),MarDom1+33,""))</f>
        <v>45380</v>
      </c>
      <c r="H18" s="28">
        <f>IF(DAY(MarDom1)=1,IF(AND(YEAR(MarDom1+27)=AñoCalendario,MONTH(MarDom1+27)=3),MarDom1+27,""),IF(AND(YEAR(MarDom1+34)=AñoCalendario,MONTH(MarDom1+34)=3),MarDom1+34,""))</f>
        <v>45381</v>
      </c>
      <c r="I18" s="28">
        <f>IF(DAY(MarDom1)=1,IF(AND(YEAR(MarDom1+28)=AñoCalendario,MONTH(MarDom1+28)=3),MarDom1+28,""),IF(AND(YEAR(MarDom1+35)=AñoCalendario,MONTH(MarDom1+35)=3),MarDom1+35,""))</f>
        <v>45382</v>
      </c>
      <c r="J18" s="1"/>
      <c r="K18" s="28">
        <f>IF(DAY(AbrDom1)=1,IF(AND(YEAR(AbrDom1+22)=AñoCalendario,MONTH(AbrDom1+22)=4),AbrDom1+22,""),IF(AND(YEAR(AbrDom1+29)=AñoCalendario,MONTH(AbrDom1+29)=4),AbrDom1+29,""))</f>
        <v>45411</v>
      </c>
      <c r="L18" s="30">
        <f>IF(DAY(AbrDom1)=1,IF(AND(YEAR(AbrDom1+23)=AñoCalendario,MONTH(AbrDom1+23)=4),AbrDom1+23,""),IF(AND(YEAR(AbrDom1+30)=AñoCalendario,MONTH(AbrDom1+30)=4),AbrDom1+30,""))</f>
        <v>45412</v>
      </c>
      <c r="M18" s="28" t="str">
        <f>IF(DAY(AbrDom1)=1,IF(AND(YEAR(AbrDom1+24)=AñoCalendario,MONTH(AbrDom1+24)=4),AbrDom1+24,""),IF(AND(YEAR(AbrDom1+31)=AñoCalendario,MONTH(AbrDom1+31)=4),AbrDom1+31,""))</f>
        <v/>
      </c>
      <c r="N18" s="28" t="str">
        <f>IF(DAY(AbrDom1)=1,IF(AND(YEAR(AbrDom1+25)=AñoCalendario,MONTH(AbrDom1+25)=4),AbrDom1+25,""),IF(AND(YEAR(AbrDom1+32)=AñoCalendario,MONTH(AbrDom1+32)=4),AbrDom1+32,""))</f>
        <v/>
      </c>
      <c r="O18" s="28" t="str">
        <f>IF(DAY(AbrDom1)=1,IF(AND(YEAR(AbrDom1+26)=AñoCalendario,MONTH(AbrDom1+26)=4),AbrDom1+26,""),IF(AND(YEAR(AbrDom1+33)=AñoCalendario,MONTH(AbrDom1+33)=4),AbrDom1+33,""))</f>
        <v/>
      </c>
      <c r="P18" s="28" t="str">
        <f>IF(DAY(AbrDom1)=1,IF(AND(YEAR(AbrDom1+27)=AñoCalendario,MONTH(AbrDom1+27)=4),AbrDom1+27,""),IF(AND(YEAR(AbrDom1+34)=AñoCalendario,MONTH(AbrDom1+34)=4),AbrDom1+34,""))</f>
        <v/>
      </c>
      <c r="Q18" s="28" t="str">
        <f>IF(DAY(AbrDom1)=1,IF(AND(YEAR(AbrDom1+28)=AñoCalendario,MONTH(AbrDom1+28)=4),AbrDom1+28,""),IF(AND(YEAR(AbrDom1+35)=AñoCalendario,MONTH(AbrDom1+35)=4),AbrDom1+35,""))</f>
        <v/>
      </c>
      <c r="S18" s="3"/>
      <c r="U18" s="53"/>
      <c r="V18" s="52"/>
      <c r="W18" s="52"/>
    </row>
    <row r="19" spans="1:41" ht="15" customHeight="1" x14ac:dyDescent="0.15">
      <c r="C19" s="28" t="str">
        <f>IF(DAY(MarDom1)=1,IF(AND(YEAR(MarDom1+29)=AñoCalendario,MONTH(MarDom1+29)=3),MarDom1+29,""),IF(AND(YEAR(MarDom1+36)=AñoCalendario,MONTH(MarDom1+36)=3),MarDom1+36,""))</f>
        <v/>
      </c>
      <c r="D19" s="28" t="str">
        <f>IF(DAY(MarDom1)=1,IF(AND(YEAR(MarDom1+30)=AñoCalendario,MONTH(MarDom1+30)=3),MarDom1+30,""),IF(AND(YEAR(MarDom1+37)=AñoCalendario,MONTH(MarDom1+37)=3),MarDom1+37,""))</f>
        <v/>
      </c>
      <c r="E19" s="28" t="str">
        <f>IF(DAY(MarDom1)=1,IF(AND(YEAR(MarDom1+31)=AñoCalendario,MONTH(MarDom1+31)=3),MarDom1+31,""),IF(AND(YEAR(MarDom1+38)=AñoCalendario,MONTH(MarDom1+38)=3),MarDom1+38,""))</f>
        <v/>
      </c>
      <c r="F19" s="28" t="str">
        <f>IF(DAY(MarDom1)=1,IF(AND(YEAR(MarDom1+32)=AñoCalendario,MONTH(MarDom1+32)=3),MarDom1+32,""),IF(AND(YEAR(MarDom1+39)=AñoCalendario,MONTH(MarDom1+39)=3),MarDom1+39,""))</f>
        <v/>
      </c>
      <c r="G19" s="28" t="str">
        <f>IF(DAY(MarDom1)=1,IF(AND(YEAR(MarDom1+33)=AñoCalendario,MONTH(MarDom1+33)=3),MarDom1+33,""),IF(AND(YEAR(MarDom1+40)=AñoCalendario,MONTH(MarDom1+40)=3),MarDom1+40,""))</f>
        <v/>
      </c>
      <c r="H19" s="28" t="str">
        <f>IF(DAY(MarDom1)=1,IF(AND(YEAR(MarDom1+34)=AñoCalendario,MONTH(MarDom1+34)=3),MarDom1+34,""),IF(AND(YEAR(MarDom1+41)=AñoCalendario,MONTH(MarDom1+41)=3),MarDom1+41,""))</f>
        <v/>
      </c>
      <c r="I19" s="28" t="str">
        <f>IF(DAY(MarDom1)=1,IF(AND(YEAR(MarDom1+35)=AñoCalendario,MONTH(MarDom1+35)=3),MarDom1+35,""),IF(AND(YEAR(MarDom1+42)=AñoCalendario,MONTH(MarDom1+42)=3),MarDom1+42,""))</f>
        <v/>
      </c>
      <c r="J19" s="1"/>
      <c r="K19" s="28" t="str">
        <f>IF(DAY(AbrDom1)=1,IF(AND(YEAR(AbrDom1+29)=AñoCalendario,MONTH(AbrDom1+29)=4),AbrDom1+29,""),IF(AND(YEAR(AbrDom1+36)=AñoCalendario,MONTH(AbrDom1+36)=4),AbrDom1+36,""))</f>
        <v/>
      </c>
      <c r="L19" s="28" t="str">
        <f>IF(DAY(AbrDom1)=1,IF(AND(YEAR(AbrDom1+30)=AñoCalendario,MONTH(AbrDom1+30)=4),AbrDom1+30,""),IF(AND(YEAR(AbrDom1+37)=AñoCalendario,MONTH(AbrDom1+37)=4),AbrDom1+37,""))</f>
        <v/>
      </c>
      <c r="M19" s="28" t="str">
        <f>IF(DAY(AbrDom1)=1,IF(AND(YEAR(AbrDom1+31)=AñoCalendario,MONTH(AbrDom1+31)=4),AbrDom1+31,""),IF(AND(YEAR(AbrDom1+38)=AñoCalendario,MONTH(AbrDom1+38)=4),AbrDom1+38,""))</f>
        <v/>
      </c>
      <c r="N19" s="28" t="str">
        <f>IF(DAY(AbrDom1)=1,IF(AND(YEAR(AbrDom1+32)=AñoCalendario,MONTH(AbrDom1+32)=4),AbrDom1+32,""),IF(AND(YEAR(AbrDom1+39)=AñoCalendario,MONTH(AbrDom1+39)=4),AbrDom1+39,""))</f>
        <v/>
      </c>
      <c r="O19" s="28" t="str">
        <f>IF(DAY(AbrDom1)=1,IF(AND(YEAR(AbrDom1+33)=AñoCalendario,MONTH(AbrDom1+33)=4),AbrDom1+33,""),IF(AND(YEAR(AbrDom1+40)=AñoCalendario,MONTH(AbrDom1+40)=4),AbrDom1+40,""))</f>
        <v/>
      </c>
      <c r="P19" s="28" t="str">
        <f>IF(DAY(AbrDom1)=1,IF(AND(YEAR(AbrDom1+34)=AñoCalendario,MONTH(AbrDom1+34)=4),AbrDom1+34,""),IF(AND(YEAR(AbrDom1+41)=AñoCalendario,MONTH(AbrDom1+41)=4),AbrDom1+41,""))</f>
        <v/>
      </c>
      <c r="Q19" s="28" t="str">
        <f>IF(DAY(AbrDom1)=1,IF(AND(YEAR(AbrDom1+35)=AñoCalendario,MONTH(AbrDom1+35)=4),AbrDom1+35,""),IF(AND(YEAR(AbrDom1+42)=AñoCalendario,MONTH(AbrDom1+42)=4),AbrDom1+42,""))</f>
        <v/>
      </c>
      <c r="S19" s="3"/>
      <c r="U19" s="53"/>
      <c r="V19" s="52"/>
      <c r="W19" s="52"/>
    </row>
    <row r="20" spans="1:41" ht="15" customHeight="1" x14ac:dyDescent="0.15">
      <c r="J20" s="1"/>
      <c r="S20" s="3"/>
      <c r="U20" s="53"/>
      <c r="V20" s="52"/>
      <c r="W20" s="52"/>
    </row>
    <row r="21" spans="1:41" ht="15" customHeight="1" x14ac:dyDescent="0.2">
      <c r="A21" s="23" t="s">
        <v>7</v>
      </c>
      <c r="C21" s="49" t="s">
        <v>10</v>
      </c>
      <c r="D21" s="49"/>
      <c r="E21" s="49"/>
      <c r="F21" s="49"/>
      <c r="G21" s="49"/>
      <c r="H21" s="49"/>
      <c r="I21" s="49"/>
      <c r="J21" s="1"/>
      <c r="K21" s="49" t="s">
        <v>22</v>
      </c>
      <c r="L21" s="49"/>
      <c r="M21" s="49"/>
      <c r="N21" s="49"/>
      <c r="O21" s="49"/>
      <c r="P21" s="49"/>
      <c r="Q21" s="49"/>
      <c r="S21" s="26"/>
      <c r="V21" s="52"/>
      <c r="W21" s="52"/>
      <c r="X21" s="27"/>
      <c r="Y21" s="27"/>
      <c r="AA21" s="27"/>
      <c r="AB21" s="27"/>
      <c r="AC21" s="27"/>
      <c r="AD21" s="27"/>
      <c r="AE21" s="27"/>
      <c r="AF21" s="27"/>
      <c r="AG21" s="27"/>
      <c r="AI21" s="27"/>
      <c r="AJ21" s="27"/>
      <c r="AK21" s="27"/>
      <c r="AL21" s="27"/>
      <c r="AM21" s="27"/>
      <c r="AN21" s="27"/>
      <c r="AO21" s="27"/>
    </row>
    <row r="22" spans="1:41" ht="15" customHeight="1" x14ac:dyDescent="0.15">
      <c r="A22" s="23" t="s">
        <v>35</v>
      </c>
      <c r="C22" s="16" t="s">
        <v>27</v>
      </c>
      <c r="D22" s="16" t="s">
        <v>14</v>
      </c>
      <c r="E22" s="16" t="s">
        <v>15</v>
      </c>
      <c r="F22" s="16" t="s">
        <v>16</v>
      </c>
      <c r="G22" s="16" t="s">
        <v>17</v>
      </c>
      <c r="H22" s="16" t="s">
        <v>18</v>
      </c>
      <c r="I22" s="16" t="s">
        <v>19</v>
      </c>
      <c r="K22" s="16" t="s">
        <v>27</v>
      </c>
      <c r="L22" s="16" t="s">
        <v>14</v>
      </c>
      <c r="M22" s="16" t="s">
        <v>15</v>
      </c>
      <c r="N22" s="16" t="s">
        <v>16</v>
      </c>
      <c r="O22" s="16" t="s">
        <v>17</v>
      </c>
      <c r="P22" s="16" t="s">
        <v>18</v>
      </c>
      <c r="Q22" s="16" t="s">
        <v>19</v>
      </c>
      <c r="S22" s="3"/>
      <c r="V22" s="52"/>
      <c r="W22" s="52"/>
    </row>
    <row r="23" spans="1:41" ht="15" customHeight="1" x14ac:dyDescent="0.2">
      <c r="A23" s="23"/>
      <c r="C23" s="28" t="str">
        <f>IF(DAY(MayDom1)=1,"",IF(AND(YEAR(MayDom1+1)=AñoCalendario,MONTH(MayDom1+1)=5),MayDom1+1,""))</f>
        <v/>
      </c>
      <c r="D23" s="28" t="str">
        <f>IF(DAY(MayDom1)=1,"",IF(AND(YEAR(MayDom1+2)=AñoCalendario,MONTH(MayDom1+2)=5),MayDom1+2,""))</f>
        <v/>
      </c>
      <c r="E23" s="29">
        <f>IF(DAY(MayDom1)=1,"",IF(AND(YEAR(MayDom1+3)=AñoCalendario,MONTH(MayDom1+3)=5),MayDom1+3,""))</f>
        <v>45413</v>
      </c>
      <c r="F23" s="28">
        <f>IF(DAY(MayDom1)=1,"",IF(AND(YEAR(MayDom1+4)=AñoCalendario,MONTH(MayDom1+4)=5),MayDom1+4,""))</f>
        <v>45414</v>
      </c>
      <c r="G23" s="28">
        <f>IF(DAY(MayDom1)=1,"",IF(AND(YEAR(MayDom1+5)=AñoCalendario,MONTH(MayDom1+5)=5),MayDom1+5,""))</f>
        <v>45415</v>
      </c>
      <c r="H23" s="28">
        <f>IF(DAY(MayDom1)=1,"",IF(AND(YEAR(MayDom1+6)=AñoCalendario,MONTH(MayDom1+6)=5),MayDom1+6,""))</f>
        <v>45416</v>
      </c>
      <c r="I23" s="28">
        <f>IF(DAY(MayDom1)=1,IF(AND(YEAR(MayDom1)=AñoCalendario,MONTH(MayDom1)=5),MayDom1,""),IF(AND(YEAR(MayDom1+7)=AñoCalendario,MONTH(MayDom1+7)=5),MayDom1+7,""))</f>
        <v>45417</v>
      </c>
      <c r="J23" s="2"/>
      <c r="K23" s="28" t="str">
        <f>IF(DAY(JunDom1)=1,"",IF(AND(YEAR(JunDom1+1)=AñoCalendario,MONTH(JunDom1+1)=6),JunDom1+1,""))</f>
        <v/>
      </c>
      <c r="L23" s="28" t="str">
        <f>IF(DAY(JunDom1)=1,"",IF(AND(YEAR(JunDom1+2)=AñoCalendario,MONTH(JunDom1+2)=6),JunDom1+2,""))</f>
        <v/>
      </c>
      <c r="M23" s="28" t="str">
        <f>IF(DAY(JunDom1)=1,"",IF(AND(YEAR(JunDom1+3)=AñoCalendario,MONTH(JunDom1+3)=6),JunDom1+3,""))</f>
        <v/>
      </c>
      <c r="N23" s="28" t="str">
        <f>IF(DAY(JunDom1)=1,"",IF(AND(YEAR(JunDom1+4)=AñoCalendario,MONTH(JunDom1+4)=6),JunDom1+4,""))</f>
        <v/>
      </c>
      <c r="O23" s="28" t="str">
        <f>IF(DAY(JunDom1)=1,"",IF(AND(YEAR(JunDom1+5)=AñoCalendario,MONTH(JunDom1+5)=6),JunDom1+5,""))</f>
        <v/>
      </c>
      <c r="P23" s="28">
        <f>IF(DAY(JunDom1)=1,"",IF(AND(YEAR(JunDom1+6)=AñoCalendario,MONTH(JunDom1+6)=6),JunDom1+6,""))</f>
        <v>45444</v>
      </c>
      <c r="Q23" s="28">
        <f>IF(DAY(JunDom1)=1,IF(AND(YEAR(JunDom1)=AñoCalendario,MONTH(JunDom1)=6),JunDom1,""),IF(AND(YEAR(JunDom1+7)=AñoCalendario,MONTH(JunDom1+7)=6),JunDom1+7,""))</f>
        <v>45445</v>
      </c>
      <c r="S23" s="3"/>
      <c r="U23" s="6"/>
      <c r="V23" s="52"/>
      <c r="W23" s="52"/>
    </row>
    <row r="24" spans="1:41" ht="15" customHeight="1" x14ac:dyDescent="0.15">
      <c r="C24" s="28">
        <f>IF(DAY(MayDom1)=1,IF(AND(YEAR(MayDom1+1)=AñoCalendario,MONTH(MayDom1+1)=5),MayDom1+1,""),IF(AND(YEAR(MayDom1+8)=AñoCalendario,MONTH(MayDom1+8)=5),MayDom1+8,""))</f>
        <v>45418</v>
      </c>
      <c r="D24" s="28">
        <f>IF(DAY(MayDom1)=1,IF(AND(YEAR(MayDom1+2)=AñoCalendario,MONTH(MayDom1+2)=5),MayDom1+2,""),IF(AND(YEAR(MayDom1+9)=AñoCalendario,MONTH(MayDom1+9)=5),MayDom1+9,""))</f>
        <v>45419</v>
      </c>
      <c r="E24" s="28">
        <f>IF(DAY(MayDom1)=1,IF(AND(YEAR(MayDom1+3)=AñoCalendario,MONTH(MayDom1+3)=5),MayDom1+3,""),IF(AND(YEAR(MayDom1+10)=AñoCalendario,MONTH(MayDom1+10)=5),MayDom1+10,""))</f>
        <v>45420</v>
      </c>
      <c r="F24" s="28">
        <f>IF(DAY(MayDom1)=1,IF(AND(YEAR(MayDom1+4)=AñoCalendario,MONTH(MayDom1+4)=5),MayDom1+4,""),IF(AND(YEAR(MayDom1+11)=AñoCalendario,MONTH(MayDom1+11)=5),MayDom1+11,""))</f>
        <v>45421</v>
      </c>
      <c r="G24" s="28">
        <f>IF(DAY(MayDom1)=1,IF(AND(YEAR(MayDom1+5)=AñoCalendario,MONTH(MayDom1+5)=5),MayDom1+5,""),IF(AND(YEAR(MayDom1+12)=AñoCalendario,MONTH(MayDom1+12)=5),MayDom1+12,""))</f>
        <v>45422</v>
      </c>
      <c r="H24" s="28">
        <f>IF(DAY(MayDom1)=1,IF(AND(YEAR(MayDom1+6)=AñoCalendario,MONTH(MayDom1+6)=5),MayDom1+6,""),IF(AND(YEAR(MayDom1+13)=AñoCalendario,MONTH(MayDom1+13)=5),MayDom1+13,""))</f>
        <v>45423</v>
      </c>
      <c r="I24" s="28">
        <f>IF(DAY(MayDom1)=1,IF(AND(YEAR(MayDom1+7)=AñoCalendario,MONTH(MayDom1+7)=5),MayDom1+7,""),IF(AND(YEAR(MayDom1+14)=AñoCalendario,MONTH(MayDom1+14)=5),MayDom1+14,""))</f>
        <v>45424</v>
      </c>
      <c r="J24" s="1"/>
      <c r="K24" s="29">
        <f>IF(DAY(JunDom1)=1,IF(AND(YEAR(JunDom1+1)=AñoCalendario,MONTH(JunDom1+1)=6),JunDom1+1,""),IF(AND(YEAR(JunDom1+8)=AñoCalendario,MONTH(JunDom1+8)=6),JunDom1+8,""))</f>
        <v>45446</v>
      </c>
      <c r="L24" s="28">
        <f>IF(DAY(JunDom1)=1,IF(AND(YEAR(JunDom1+2)=AñoCalendario,MONTH(JunDom1+2)=6),JunDom1+2,""),IF(AND(YEAR(JunDom1+9)=AñoCalendario,MONTH(JunDom1+9)=6),JunDom1+9,""))</f>
        <v>45447</v>
      </c>
      <c r="M24" s="28">
        <f>IF(DAY(JunDom1)=1,IF(AND(YEAR(JunDom1+3)=AñoCalendario,MONTH(JunDom1+3)=6),JunDom1+3,""),IF(AND(YEAR(JunDom1+10)=AñoCalendario,MONTH(JunDom1+10)=6),JunDom1+10,""))</f>
        <v>45448</v>
      </c>
      <c r="N24" s="28">
        <f>IF(DAY(JunDom1)=1,IF(AND(YEAR(JunDom1+4)=AñoCalendario,MONTH(JunDom1+4)=6),JunDom1+4,""),IF(AND(YEAR(JunDom1+11)=AñoCalendario,MONTH(JunDom1+11)=6),JunDom1+11,""))</f>
        <v>45449</v>
      </c>
      <c r="O24" s="28">
        <f>IF(DAY(JunDom1)=1,IF(AND(YEAR(JunDom1+5)=AñoCalendario,MONTH(JunDom1+5)=6),JunDom1+5,""),IF(AND(YEAR(JunDom1+12)=AñoCalendario,MONTH(JunDom1+12)=6),JunDom1+12,""))</f>
        <v>45450</v>
      </c>
      <c r="P24" s="28">
        <f>IF(DAY(JunDom1)=1,IF(AND(YEAR(JunDom1+6)=AñoCalendario,MONTH(JunDom1+6)=6),JunDom1+6,""),IF(AND(YEAR(JunDom1+13)=AñoCalendario,MONTH(JunDom1+13)=6),JunDom1+13,""))</f>
        <v>45451</v>
      </c>
      <c r="Q24" s="28">
        <f>IF(DAY(JunDom1)=1,IF(AND(YEAR(JunDom1+7)=AñoCalendario,MONTH(JunDom1+7)=6),JunDom1+7,""),IF(AND(YEAR(JunDom1+14)=AñoCalendario,MONTH(JunDom1+14)=6),JunDom1+14,""))</f>
        <v>45452</v>
      </c>
      <c r="S24" s="3"/>
      <c r="U24" s="7"/>
      <c r="V24" s="52"/>
      <c r="W24" s="52"/>
    </row>
    <row r="25" spans="1:41" ht="15" customHeight="1" x14ac:dyDescent="0.15">
      <c r="C25" s="29">
        <f>IF(DAY(MayDom1)=1,IF(AND(YEAR(MayDom1+8)=AñoCalendario,MONTH(MayDom1+8)=5),MayDom1+8,""),IF(AND(YEAR(MayDom1+15)=AñoCalendario,MONTH(MayDom1+15)=5),MayDom1+15,""))</f>
        <v>45425</v>
      </c>
      <c r="D25" s="31">
        <f>IF(DAY(MayDom1)=1,IF(AND(YEAR(MayDom1+9)=AñoCalendario,MONTH(MayDom1+9)=5),MayDom1+9,""),IF(AND(YEAR(MayDom1+16)=AñoCalendario,MONTH(MayDom1+16)=5),MayDom1+16,""))</f>
        <v>45426</v>
      </c>
      <c r="E25" s="28">
        <f>IF(DAY(MayDom1)=1,IF(AND(YEAR(MayDom1+10)=AñoCalendario,MONTH(MayDom1+10)=5),MayDom1+10,""),IF(AND(YEAR(MayDom1+17)=AñoCalendario,MONTH(MayDom1+17)=5),MayDom1+17,""))</f>
        <v>45427</v>
      </c>
      <c r="F25" s="28">
        <f>IF(DAY(MayDom1)=1,IF(AND(YEAR(MayDom1+11)=AñoCalendario,MONTH(MayDom1+11)=5),MayDom1+11,""),IF(AND(YEAR(MayDom1+18)=AñoCalendario,MONTH(MayDom1+18)=5),MayDom1+18,""))</f>
        <v>45428</v>
      </c>
      <c r="G25" s="28">
        <f>IF(DAY(MayDom1)=1,IF(AND(YEAR(MayDom1+12)=AñoCalendario,MONTH(MayDom1+12)=5),MayDom1+12,""),IF(AND(YEAR(MayDom1+19)=AñoCalendario,MONTH(MayDom1+19)=5),MayDom1+19,""))</f>
        <v>45429</v>
      </c>
      <c r="H25" s="28">
        <f>IF(DAY(MayDom1)=1,IF(AND(YEAR(MayDom1+13)=AñoCalendario,MONTH(MayDom1+13)=5),MayDom1+13,""),IF(AND(YEAR(MayDom1+20)=AñoCalendario,MONTH(MayDom1+20)=5),MayDom1+20,""))</f>
        <v>45430</v>
      </c>
      <c r="I25" s="28">
        <f>IF(DAY(MayDom1)=1,IF(AND(YEAR(MayDom1+14)=AñoCalendario,MONTH(MayDom1+14)=5),MayDom1+14,""),IF(AND(YEAR(MayDom1+21)=AñoCalendario,MONTH(MayDom1+21)=5),MayDom1+21,""))</f>
        <v>45431</v>
      </c>
      <c r="J25" s="1"/>
      <c r="K25" s="29">
        <f>IF(DAY(JunDom1)=1,IF(AND(YEAR(JunDom1+8)=AñoCalendario,MONTH(JunDom1+8)=6),JunDom1+8,""),IF(AND(YEAR(JunDom1+15)=AñoCalendario,MONTH(JunDom1+15)=6),JunDom1+15,""))</f>
        <v>45453</v>
      </c>
      <c r="L25" s="31">
        <f>IF(DAY(JunDom1)=1,IF(AND(YEAR(JunDom1+9)=AñoCalendario,MONTH(JunDom1+9)=6),JunDom1+9,""),IF(AND(YEAR(JunDom1+16)=AñoCalendario,MONTH(JunDom1+16)=6),JunDom1+16,""))</f>
        <v>45454</v>
      </c>
      <c r="M25" s="28">
        <f>IF(DAY(JunDom1)=1,IF(AND(YEAR(JunDom1+10)=AñoCalendario,MONTH(JunDom1+10)=6),JunDom1+10,""),IF(AND(YEAR(JunDom1+17)=AñoCalendario,MONTH(JunDom1+17)=6),JunDom1+17,""))</f>
        <v>45455</v>
      </c>
      <c r="N25" s="28">
        <f>IF(DAY(JunDom1)=1,IF(AND(YEAR(JunDom1+11)=AñoCalendario,MONTH(JunDom1+11)=6),JunDom1+11,""),IF(AND(YEAR(JunDom1+18)=AñoCalendario,MONTH(JunDom1+18)=6),JunDom1+18,""))</f>
        <v>45456</v>
      </c>
      <c r="O25" s="28">
        <f>IF(DAY(JunDom1)=1,IF(AND(YEAR(JunDom1+12)=AñoCalendario,MONTH(JunDom1+12)=6),JunDom1+12,""),IF(AND(YEAR(JunDom1+19)=AñoCalendario,MONTH(JunDom1+19)=6),JunDom1+19,""))</f>
        <v>45457</v>
      </c>
      <c r="P25" s="28">
        <f>IF(DAY(JunDom1)=1,IF(AND(YEAR(JunDom1+13)=AñoCalendario,MONTH(JunDom1+13)=6),JunDom1+13,""),IF(AND(YEAR(JunDom1+20)=AñoCalendario,MONTH(JunDom1+20)=6),JunDom1+20,""))</f>
        <v>45458</v>
      </c>
      <c r="Q25" s="28">
        <f>IF(DAY(JunDom1)=1,IF(AND(YEAR(JunDom1+14)=AñoCalendario,MONTH(JunDom1+14)=6),JunDom1+14,""),IF(AND(YEAR(JunDom1+21)=AñoCalendario,MONTH(JunDom1+21)=6),JunDom1+21,""))</f>
        <v>45459</v>
      </c>
      <c r="S25" s="3"/>
      <c r="U25" s="9"/>
      <c r="V25" s="52"/>
      <c r="W25" s="52"/>
    </row>
    <row r="26" spans="1:41" ht="15" customHeight="1" x14ac:dyDescent="0.15">
      <c r="C26" s="28">
        <f>IF(DAY(MayDom1)=1,IF(AND(YEAR(MayDom1+15)=AñoCalendario,MONTH(MayDom1+15)=5),MayDom1+15,""),IF(AND(YEAR(MayDom1+22)=AñoCalendario,MONTH(MayDom1+22)=5),MayDom1+22,""))</f>
        <v>45432</v>
      </c>
      <c r="D26" s="54">
        <f>IF(DAY(MayDom1)=1,IF(AND(YEAR(MayDom1+16)=AñoCalendario,MONTH(MayDom1+16)=5),MayDom1+16,""),IF(AND(YEAR(MayDom1+23)=AñoCalendario,MONTH(MayDom1+23)=5),MayDom1+23,""))</f>
        <v>45433</v>
      </c>
      <c r="E26" s="42">
        <f>IF(DAY(MayDom1)=1,IF(AND(YEAR(MayDom1+17)=AñoCalendario,MONTH(MayDom1+17)=5),MayDom1+17,""),IF(AND(YEAR(MayDom1+24)=AñoCalendario,MONTH(MayDom1+24)=5),MayDom1+24,""))</f>
        <v>45434</v>
      </c>
      <c r="F26" s="28">
        <f>IF(DAY(MayDom1)=1,IF(AND(YEAR(MayDom1+18)=AñoCalendario,MONTH(MayDom1+18)=5),MayDom1+18,""),IF(AND(YEAR(MayDom1+25)=AñoCalendario,MONTH(MayDom1+25)=5),MayDom1+25,""))</f>
        <v>45435</v>
      </c>
      <c r="G26" s="44">
        <f>IF(DAY(MayDom1)=1,IF(AND(YEAR(MayDom1+19)=AñoCalendario,MONTH(MayDom1+19)=5),MayDom1+19,""),IF(AND(YEAR(MayDom1+26)=AñoCalendario,MONTH(MayDom1+26)=5),MayDom1+26,""))</f>
        <v>45436</v>
      </c>
      <c r="H26" s="28">
        <f>IF(DAY(MayDom1)=1,IF(AND(YEAR(MayDom1+20)=AñoCalendario,MONTH(MayDom1+20)=5),MayDom1+20,""),IF(AND(YEAR(MayDom1+27)=AñoCalendario,MONTH(MayDom1+27)=5),MayDom1+27,""))</f>
        <v>45437</v>
      </c>
      <c r="I26" s="28">
        <f>IF(DAY(MayDom1)=1,IF(AND(YEAR(MayDom1+21)=AñoCalendario,MONTH(MayDom1+21)=5),MayDom1+21,""),IF(AND(YEAR(MayDom1+28)=AñoCalendario,MONTH(MayDom1+28)=5),MayDom1+28,""))</f>
        <v>45438</v>
      </c>
      <c r="J26" s="1"/>
      <c r="K26" s="28">
        <f>IF(DAY(JunDom1)=1,IF(AND(YEAR(JunDom1+15)=AñoCalendario,MONTH(JunDom1+15)=6),JunDom1+15,""),IF(AND(YEAR(JunDom1+22)=AñoCalendario,MONTH(JunDom1+22)=6),JunDom1+22,""))</f>
        <v>45460</v>
      </c>
      <c r="L26" s="54">
        <f>IF(DAY(JunDom1)=1,IF(AND(YEAR(JunDom1+16)=AñoCalendario,MONTH(JunDom1+16)=6),JunDom1+16,""),IF(AND(YEAR(JunDom1+23)=AñoCalendario,MONTH(JunDom1+23)=6),JunDom1+23,""))</f>
        <v>45461</v>
      </c>
      <c r="M26" s="42">
        <f>IF(DAY(JunDom1)=1,IF(AND(YEAR(JunDom1+17)=AñoCalendario,MONTH(JunDom1+17)=6),JunDom1+17,""),IF(AND(YEAR(JunDom1+24)=AñoCalendario,MONTH(JunDom1+24)=6),JunDom1+24,""))</f>
        <v>45462</v>
      </c>
      <c r="N26" s="28">
        <f>IF(DAY(JunDom1)=1,IF(AND(YEAR(JunDom1+18)=AñoCalendario,MONTH(JunDom1+18)=6),JunDom1+18,""),IF(AND(YEAR(JunDom1+25)=AñoCalendario,MONTH(JunDom1+25)=6),JunDom1+25,""))</f>
        <v>45463</v>
      </c>
      <c r="O26" s="28">
        <f>IF(DAY(JunDom1)=1,IF(AND(YEAR(JunDom1+19)=AñoCalendario,MONTH(JunDom1+19)=6),JunDom1+19,""),IF(AND(YEAR(JunDom1+26)=AñoCalendario,MONTH(JunDom1+26)=6),JunDom1+26,""))</f>
        <v>45464</v>
      </c>
      <c r="P26" s="28">
        <f>IF(DAY(JunDom1)=1,IF(AND(YEAR(JunDom1+20)=AñoCalendario,MONTH(JunDom1+20)=6),JunDom1+20,""),IF(AND(YEAR(JunDom1+27)=AñoCalendario,MONTH(JunDom1+27)=6),JunDom1+27,""))</f>
        <v>45465</v>
      </c>
      <c r="Q26" s="28">
        <f>IF(DAY(JunDom1)=1,IF(AND(YEAR(JunDom1+21)=AñoCalendario,MONTH(JunDom1+21)=6),JunDom1+21,""),IF(AND(YEAR(JunDom1+28)=AñoCalendario,MONTH(JunDom1+28)=6),JunDom1+28,""))</f>
        <v>45466</v>
      </c>
      <c r="S26" s="3"/>
      <c r="U26" s="6"/>
      <c r="V26" s="52"/>
      <c r="W26" s="52"/>
    </row>
    <row r="27" spans="1:41" ht="15" customHeight="1" x14ac:dyDescent="0.15">
      <c r="C27" s="28">
        <f>IF(DAY(MayDom1)=1,IF(AND(YEAR(MayDom1+22)=AñoCalendario,MONTH(MayDom1+22)=5),MayDom1+22,""),IF(AND(YEAR(MayDom1+29)=AñoCalendario,MONTH(MayDom1+29)=5),MayDom1+29,""))</f>
        <v>45439</v>
      </c>
      <c r="D27" s="30">
        <f>IF(DAY(MayDom1)=1,IF(AND(YEAR(MayDom1+23)=AñoCalendario,MONTH(MayDom1+23)=5),MayDom1+23,""),IF(AND(YEAR(MayDom1+30)=AñoCalendario,MONTH(MayDom1+30)=5),MayDom1+30,""))</f>
        <v>45440</v>
      </c>
      <c r="E27" s="28">
        <f>IF(DAY(MayDom1)=1,IF(AND(YEAR(MayDom1+24)=AñoCalendario,MONTH(MayDom1+24)=5),MayDom1+24,""),IF(AND(YEAR(MayDom1+31)=AñoCalendario,MONTH(MayDom1+31)=5),MayDom1+31,""))</f>
        <v>45441</v>
      </c>
      <c r="F27" s="28">
        <f>IF(DAY(MayDom1)=1,IF(AND(YEAR(MayDom1+25)=AñoCalendario,MONTH(MayDom1+25)=5),MayDom1+25,""),IF(AND(YEAR(MayDom1+32)=AñoCalendario,MONTH(MayDom1+32)=5),MayDom1+32,""))</f>
        <v>45442</v>
      </c>
      <c r="G27" s="28">
        <f>IF(DAY(MayDom1)=1,IF(AND(YEAR(MayDom1+26)=AñoCalendario,MONTH(MayDom1+26)=5),MayDom1+26,""),IF(AND(YEAR(MayDom1+33)=AñoCalendario,MONTH(MayDom1+33)=5),MayDom1+33,""))</f>
        <v>45443</v>
      </c>
      <c r="H27" s="28" t="str">
        <f>IF(DAY(MayDom1)=1,IF(AND(YEAR(MayDom1+27)=AñoCalendario,MONTH(MayDom1+27)=5),MayDom1+27,""),IF(AND(YEAR(MayDom1+34)=AñoCalendario,MONTH(MayDom1+34)=5),MayDom1+34,""))</f>
        <v/>
      </c>
      <c r="I27" s="28" t="str">
        <f>IF(DAY(MayDom1)=1,IF(AND(YEAR(MayDom1+28)=AñoCalendario,MONTH(MayDom1+28)=5),MayDom1+28,""),IF(AND(YEAR(MayDom1+35)=AñoCalendario,MONTH(MayDom1+35)=5),MayDom1+35,""))</f>
        <v/>
      </c>
      <c r="J27" s="1"/>
      <c r="K27" s="28">
        <f>IF(DAY(JunDom1)=1,IF(AND(YEAR(JunDom1+22)=AñoCalendario,MONTH(JunDom1+22)=6),JunDom1+22,""),IF(AND(YEAR(JunDom1+29)=AñoCalendario,MONTH(JunDom1+29)=6),JunDom1+29,""))</f>
        <v>45467</v>
      </c>
      <c r="L27" s="30">
        <f>IF(DAY(JunDom1)=1,IF(AND(YEAR(JunDom1+23)=AñoCalendario,MONTH(JunDom1+23)=6),JunDom1+23,""),IF(AND(YEAR(JunDom1+30)=AñoCalendario,MONTH(JunDom1+30)=6),JunDom1+30,""))</f>
        <v>45468</v>
      </c>
      <c r="M27" s="28">
        <f>IF(DAY(JunDom1)=1,IF(AND(YEAR(JunDom1+24)=AñoCalendario,MONTH(JunDom1+24)=6),JunDom1+24,""),IF(AND(YEAR(JunDom1+31)=AñoCalendario,MONTH(JunDom1+31)=6),JunDom1+31,""))</f>
        <v>45469</v>
      </c>
      <c r="N27" s="28">
        <f>IF(DAY(JunDom1)=1,IF(AND(YEAR(JunDom1+25)=AñoCalendario,MONTH(JunDom1+25)=6),JunDom1+25,""),IF(AND(YEAR(JunDom1+32)=AñoCalendario,MONTH(JunDom1+32)=6),JunDom1+32,""))</f>
        <v>45470</v>
      </c>
      <c r="O27" s="28">
        <f>IF(DAY(JunDom1)=1,IF(AND(YEAR(JunDom1+26)=AñoCalendario,MONTH(JunDom1+26)=6),JunDom1+26,""),IF(AND(YEAR(JunDom1+33)=AñoCalendario,MONTH(JunDom1+33)=6),JunDom1+33,""))</f>
        <v>45471</v>
      </c>
      <c r="P27" s="28">
        <f>IF(DAY(JunDom1)=1,IF(AND(YEAR(JunDom1+27)=AñoCalendario,MONTH(JunDom1+27)=6),JunDom1+27,""),IF(AND(YEAR(JunDom1+34)=AñoCalendario,MONTH(JunDom1+34)=6),JunDom1+34,""))</f>
        <v>45472</v>
      </c>
      <c r="Q27" s="28">
        <f>IF(DAY(JunDom1)=1,IF(AND(YEAR(JunDom1+28)=AñoCalendario,MONTH(JunDom1+28)=6),JunDom1+28,""),IF(AND(YEAR(JunDom1+35)=AñoCalendario,MONTH(JunDom1+35)=6),JunDom1+35,""))</f>
        <v>45473</v>
      </c>
      <c r="S27" s="3"/>
      <c r="U27" s="7"/>
      <c r="V27" s="52"/>
      <c r="W27" s="52"/>
    </row>
    <row r="28" spans="1:41" ht="15" customHeight="1" x14ac:dyDescent="0.15">
      <c r="C28" s="28" t="str">
        <f>IF(DAY(MayDom1)=1,IF(AND(YEAR(MayDom1+29)=AñoCalendario,MONTH(MayDom1+29)=5),MayDom1+29,""),IF(AND(YEAR(MayDom1+36)=AñoCalendario,MONTH(MayDom1+36)=5),MayDom1+36,""))</f>
        <v/>
      </c>
      <c r="D28" s="28" t="str">
        <f>IF(DAY(MayDom1)=1,IF(AND(YEAR(MayDom1+30)=AñoCalendario,MONTH(MayDom1+30)=5),MayDom1+30,""),IF(AND(YEAR(MayDom1+37)=AñoCalendario,MONTH(MayDom1+37)=5),MayDom1+37,""))</f>
        <v/>
      </c>
      <c r="E28" s="28" t="str">
        <f>IF(DAY(MayDom1)=1,IF(AND(YEAR(MayDom1+31)=AñoCalendario,MONTH(MayDom1+31)=5),MayDom1+31,""),IF(AND(YEAR(MayDom1+38)=AñoCalendario,MONTH(MayDom1+38)=5),MayDom1+38,""))</f>
        <v/>
      </c>
      <c r="F28" s="28" t="str">
        <f>IF(DAY(MayDom1)=1,IF(AND(YEAR(MayDom1+32)=AñoCalendario,MONTH(MayDom1+32)=5),MayDom1+32,""),IF(AND(YEAR(MayDom1+39)=AñoCalendario,MONTH(MayDom1+39)=5),MayDom1+39,""))</f>
        <v/>
      </c>
      <c r="G28" s="28" t="str">
        <f>IF(DAY(MayDom1)=1,IF(AND(YEAR(MayDom1+33)=AñoCalendario,MONTH(MayDom1+33)=5),MayDom1+33,""),IF(AND(YEAR(MayDom1+40)=AñoCalendario,MONTH(MayDom1+40)=5),MayDom1+40,""))</f>
        <v/>
      </c>
      <c r="H28" s="28" t="str">
        <f>IF(DAY(MayDom1)=1,IF(AND(YEAR(MayDom1+34)=AñoCalendario,MONTH(MayDom1+34)=5),MayDom1+34,""),IF(AND(YEAR(MayDom1+41)=AñoCalendario,MONTH(MayDom1+41)=5),MayDom1+41,""))</f>
        <v/>
      </c>
      <c r="I28" s="28" t="str">
        <f>IF(DAY(MayDom1)=1,IF(AND(YEAR(MayDom1+35)=AñoCalendario,MONTH(MayDom1+35)=5),MayDom1+35,""),IF(AND(YEAR(MayDom1+42)=AñoCalendario,MONTH(MayDom1+42)=5),MayDom1+42,""))</f>
        <v/>
      </c>
      <c r="J28" s="1"/>
      <c r="K28" s="28" t="str">
        <f>IF(DAY(JunDom1)=1,IF(AND(YEAR(JunDom1+29)=AñoCalendario,MONTH(JunDom1+29)=6),JunDom1+29,""),IF(AND(YEAR(JunDom1+36)=AñoCalendario,MONTH(JunDom1+36)=6),JunDom1+36,""))</f>
        <v/>
      </c>
      <c r="L28" s="28" t="str">
        <f>IF(DAY(JunDom1)=1,IF(AND(YEAR(JunDom1+30)=AñoCalendario,MONTH(JunDom1+30)=6),JunDom1+30,""),IF(AND(YEAR(JunDom1+37)=AñoCalendario,MONTH(JunDom1+37)=6),JunDom1+37,""))</f>
        <v/>
      </c>
      <c r="M28" s="28" t="str">
        <f>IF(DAY(JunDom1)=1,IF(AND(YEAR(JunDom1+31)=AñoCalendario,MONTH(JunDom1+31)=6),JunDom1+31,""),IF(AND(YEAR(JunDom1+38)=AñoCalendario,MONTH(JunDom1+38)=6),JunDom1+38,""))</f>
        <v/>
      </c>
      <c r="N28" s="28" t="str">
        <f>IF(DAY(JunDom1)=1,IF(AND(YEAR(JunDom1+32)=AñoCalendario,MONTH(JunDom1+32)=6),JunDom1+32,""),IF(AND(YEAR(JunDom1+39)=AñoCalendario,MONTH(JunDom1+39)=6),JunDom1+39,""))</f>
        <v/>
      </c>
      <c r="O28" s="28" t="str">
        <f>IF(DAY(JunDom1)=1,IF(AND(YEAR(JunDom1+33)=AñoCalendario,MONTH(JunDom1+33)=6),JunDom1+33,""),IF(AND(YEAR(JunDom1+40)=AñoCalendario,MONTH(JunDom1+40)=6),JunDom1+40,""))</f>
        <v/>
      </c>
      <c r="P28" s="28" t="str">
        <f>IF(DAY(JunDom1)=1,IF(AND(YEAR(JunDom1+34)=AñoCalendario,MONTH(JunDom1+34)=6),JunDom1+34,""),IF(AND(YEAR(JunDom1+41)=AñoCalendario,MONTH(JunDom1+41)=6),JunDom1+41,""))</f>
        <v/>
      </c>
      <c r="Q28" s="28" t="str">
        <f>IF(DAY(JunDom1)=1,IF(AND(YEAR(JunDom1+35)=AñoCalendario,MONTH(JunDom1+35)=6),JunDom1+35,""),IF(AND(YEAR(JunDom1+42)=AñoCalendario,MONTH(JunDom1+42)=6),JunDom1+42,""))</f>
        <v/>
      </c>
      <c r="S28" s="3"/>
      <c r="U28" s="9"/>
      <c r="V28" s="52"/>
      <c r="W28" s="52"/>
    </row>
    <row r="29" spans="1:41" ht="15" customHeight="1" x14ac:dyDescent="0.15">
      <c r="J29" s="1"/>
      <c r="S29" s="3"/>
      <c r="U29" s="6"/>
      <c r="V29" s="52"/>
      <c r="W29" s="52"/>
    </row>
    <row r="30" spans="1:41" ht="15" customHeight="1" x14ac:dyDescent="0.2">
      <c r="A30" s="23" t="s">
        <v>36</v>
      </c>
      <c r="C30" s="49" t="s">
        <v>11</v>
      </c>
      <c r="D30" s="49"/>
      <c r="E30" s="49"/>
      <c r="F30" s="49"/>
      <c r="G30" s="49"/>
      <c r="H30" s="49"/>
      <c r="I30" s="49"/>
      <c r="J30" s="1"/>
      <c r="K30" s="49" t="s">
        <v>23</v>
      </c>
      <c r="L30" s="49"/>
      <c r="M30" s="49"/>
      <c r="N30" s="49"/>
      <c r="O30" s="49"/>
      <c r="P30" s="49"/>
      <c r="Q30" s="49"/>
      <c r="S30" s="3"/>
      <c r="U30" s="7"/>
      <c r="V30" s="52"/>
      <c r="W30" s="52"/>
    </row>
    <row r="31" spans="1:41" ht="15" customHeight="1" x14ac:dyDescent="0.15">
      <c r="A31" s="23" t="s">
        <v>37</v>
      </c>
      <c r="C31" s="16" t="s">
        <v>27</v>
      </c>
      <c r="D31" s="16" t="s">
        <v>14</v>
      </c>
      <c r="E31" s="16" t="s">
        <v>15</v>
      </c>
      <c r="F31" s="16" t="s">
        <v>16</v>
      </c>
      <c r="G31" s="16" t="s">
        <v>17</v>
      </c>
      <c r="H31" s="16" t="s">
        <v>18</v>
      </c>
      <c r="I31" s="16" t="s">
        <v>19</v>
      </c>
      <c r="J31" s="1"/>
      <c r="K31" s="16" t="s">
        <v>27</v>
      </c>
      <c r="L31" s="16" t="s">
        <v>14</v>
      </c>
      <c r="M31" s="16" t="s">
        <v>15</v>
      </c>
      <c r="N31" s="16" t="s">
        <v>16</v>
      </c>
      <c r="O31" s="16" t="s">
        <v>17</v>
      </c>
      <c r="P31" s="16" t="s">
        <v>18</v>
      </c>
      <c r="Q31" s="16" t="s">
        <v>19</v>
      </c>
      <c r="S31" s="3"/>
      <c r="U31" s="9"/>
      <c r="V31" s="52"/>
      <c r="W31" s="52"/>
    </row>
    <row r="32" spans="1:41" ht="15" customHeight="1" x14ac:dyDescent="0.15">
      <c r="A32" s="23"/>
      <c r="C32" s="29">
        <f>IF(DAY(JulDom1)=1,"",IF(AND(YEAR(JulDom1+1)=AñoCalendario,MONTH(JulDom1+1)=7),JulDom1+1,""))</f>
        <v>45474</v>
      </c>
      <c r="D32" s="28">
        <f>IF(DAY(JulDom1)=1,"",IF(AND(YEAR(JulDom1+2)=AñoCalendario,MONTH(JulDom1+2)=7),JulDom1+2,""))</f>
        <v>45475</v>
      </c>
      <c r="E32" s="28">
        <f>IF(DAY(JulDom1)=1,"",IF(AND(YEAR(JulDom1+3)=AñoCalendario,MONTH(JulDom1+3)=7),JulDom1+3,""))</f>
        <v>45476</v>
      </c>
      <c r="F32" s="28">
        <f>IF(DAY(JulDom1)=1,"",IF(AND(YEAR(JulDom1+4)=AñoCalendario,MONTH(JulDom1+4)=7),JulDom1+4,""))</f>
        <v>45477</v>
      </c>
      <c r="G32" s="28">
        <f>IF(DAY(JulDom1)=1,"",IF(AND(YEAR(JulDom1+5)=AñoCalendario,MONTH(JulDom1+5)=7),JulDom1+5,""))</f>
        <v>45478</v>
      </c>
      <c r="H32" s="28">
        <f>IF(DAY(JulDom1)=1,"",IF(AND(YEAR(JulDom1+6)=AñoCalendario,MONTH(JulDom1+6)=7),JulDom1+6,""))</f>
        <v>45479</v>
      </c>
      <c r="I32" s="28">
        <f>IF(DAY(JulDom1)=1,IF(AND(YEAR(JulDom1)=AñoCalendario,MONTH(JulDom1)=7),JulDom1,""),IF(AND(YEAR(JulDom1+7)=AñoCalendario,MONTH(JulDom1+7)=7),JulDom1+7,""))</f>
        <v>45480</v>
      </c>
      <c r="K32" s="28" t="str">
        <f>IF(DAY(AgoDom1)=1,"",IF(AND(YEAR(AgoDom1+1)=AñoCalendario,MONTH(AgoDom1+1)=8),AgoDom1+1,""))</f>
        <v/>
      </c>
      <c r="L32" s="28" t="str">
        <f>IF(DAY(AgoDom1)=1,"",IF(AND(YEAR(AgoDom1+2)=AñoCalendario,MONTH(AgoDom1+2)=8),AgoDom1+2,""))</f>
        <v/>
      </c>
      <c r="M32" s="28" t="str">
        <f>IF(DAY(AgoDom1)=1,"",IF(AND(YEAR(AgoDom1+3)=AñoCalendario,MONTH(AgoDom1+3)=8),AgoDom1+3,""))</f>
        <v/>
      </c>
      <c r="N32" s="28">
        <f>IF(DAY(AgoDom1)=1,"",IF(AND(YEAR(AgoDom1+4)=AñoCalendario,MONTH(AgoDom1+4)=8),AgoDom1+4,""))</f>
        <v>45505</v>
      </c>
      <c r="O32" s="28">
        <f>IF(DAY(AgoDom1)=1,"",IF(AND(YEAR(AgoDom1+5)=AñoCalendario,MONTH(AgoDom1+5)=8),AgoDom1+5,""))</f>
        <v>45506</v>
      </c>
      <c r="P32" s="28">
        <f>IF(DAY(AgoDom1)=1,"",IF(AND(YEAR(AgoDom1+6)=AñoCalendario,MONTH(AgoDom1+6)=8),AgoDom1+6,""))</f>
        <v>45507</v>
      </c>
      <c r="Q32" s="28">
        <f>IF(DAY(AgoDom1)=1,IF(AND(YEAR(AgoDom1)=AñoCalendario,MONTH(AgoDom1)=8),AgoDom1,""),IF(AND(YEAR(AgoDom1+7)=AñoCalendario,MONTH(AgoDom1+7)=8),AgoDom1+7,""))</f>
        <v>45508</v>
      </c>
      <c r="S32" s="3"/>
      <c r="U32" s="6"/>
      <c r="V32" s="52"/>
      <c r="W32" s="52"/>
    </row>
    <row r="33" spans="1:23" ht="15" customHeight="1" x14ac:dyDescent="0.15">
      <c r="A33" s="23"/>
      <c r="C33" s="28">
        <f>IF(DAY(JulDom1)=1,IF(AND(YEAR(JulDom1+1)=AñoCalendario,MONTH(JulDom1+1)=7),JulDom1+1,""),IF(AND(YEAR(JulDom1+8)=AñoCalendario,MONTH(JulDom1+8)=7),JulDom1+8,""))</f>
        <v>45481</v>
      </c>
      <c r="D33" s="31">
        <f>IF(DAY(JulDom1)=1,IF(AND(YEAR(JulDom1+2)=AñoCalendario,MONTH(JulDom1+2)=7),JulDom1+2,""),IF(AND(YEAR(JulDom1+9)=AñoCalendario,MONTH(JulDom1+9)=7),JulDom1+9,""))</f>
        <v>45482</v>
      </c>
      <c r="E33" s="28">
        <f>IF(DAY(JulDom1)=1,IF(AND(YEAR(JulDom1+3)=AñoCalendario,MONTH(JulDom1+3)=7),JulDom1+3,""),IF(AND(YEAR(JulDom1+10)=AñoCalendario,MONTH(JulDom1+10)=7),JulDom1+10,""))</f>
        <v>45483</v>
      </c>
      <c r="F33" s="28">
        <f>IF(DAY(JulDom1)=1,IF(AND(YEAR(JulDom1+4)=AñoCalendario,MONTH(JulDom1+4)=7),JulDom1+4,""),IF(AND(YEAR(JulDom1+11)=AñoCalendario,MONTH(JulDom1+11)=7),JulDom1+11,""))</f>
        <v>45484</v>
      </c>
      <c r="G33" s="28">
        <f>IF(DAY(JulDom1)=1,IF(AND(YEAR(JulDom1+5)=AñoCalendario,MONTH(JulDom1+5)=7),JulDom1+5,""),IF(AND(YEAR(JulDom1+12)=AñoCalendario,MONTH(JulDom1+12)=7),JulDom1+12,""))</f>
        <v>45485</v>
      </c>
      <c r="H33" s="28">
        <f>IF(DAY(JulDom1)=1,IF(AND(YEAR(JulDom1+6)=AñoCalendario,MONTH(JulDom1+6)=7),JulDom1+6,""),IF(AND(YEAR(JulDom1+13)=AñoCalendario,MONTH(JulDom1+13)=7),JulDom1+13,""))</f>
        <v>45486</v>
      </c>
      <c r="I33" s="28">
        <f>IF(DAY(JulDom1)=1,IF(AND(YEAR(JulDom1+7)=AñoCalendario,MONTH(JulDom1+7)=7),JulDom1+7,""),IF(AND(YEAR(JulDom1+14)=AñoCalendario,MONTH(JulDom1+14)=7),JulDom1+14,""))</f>
        <v>45487</v>
      </c>
      <c r="K33" s="28">
        <f>IF(DAY(AgoDom1)=1,IF(AND(YEAR(AgoDom1+1)=AñoCalendario,MONTH(AgoDom1+1)=8),AgoDom1+1,""),IF(AND(YEAR(AgoDom1+8)=AñoCalendario,MONTH(AgoDom1+8)=8),AgoDom1+8,""))</f>
        <v>45509</v>
      </c>
      <c r="L33" s="28">
        <f>IF(DAY(AgoDom1)=1,IF(AND(YEAR(AgoDom1+2)=AñoCalendario,MONTH(AgoDom1+2)=8),AgoDom1+2,""),IF(AND(YEAR(AgoDom1+9)=AñoCalendario,MONTH(AgoDom1+9)=8),AgoDom1+9,""))</f>
        <v>45510</v>
      </c>
      <c r="M33" s="29">
        <f>IF(DAY(AgoDom1)=1,IF(AND(YEAR(AgoDom1+3)=AñoCalendario,MONTH(AgoDom1+3)=8),AgoDom1+3,""),IF(AND(YEAR(AgoDom1+10)=AñoCalendario,MONTH(AgoDom1+10)=8),AgoDom1+10,""))</f>
        <v>45511</v>
      </c>
      <c r="N33" s="28">
        <f>IF(DAY(AgoDom1)=1,IF(AND(YEAR(AgoDom1+4)=AñoCalendario,MONTH(AgoDom1+4)=8),AgoDom1+4,""),IF(AND(YEAR(AgoDom1+11)=AñoCalendario,MONTH(AgoDom1+11)=8),AgoDom1+11,""))</f>
        <v>45512</v>
      </c>
      <c r="O33" s="28">
        <f>IF(DAY(AgoDom1)=1,IF(AND(YEAR(AgoDom1+5)=AñoCalendario,MONTH(AgoDom1+5)=8),AgoDom1+5,""),IF(AND(YEAR(AgoDom1+12)=AñoCalendario,MONTH(AgoDom1+12)=8),AgoDom1+12,""))</f>
        <v>45513</v>
      </c>
      <c r="P33" s="28">
        <f>IF(DAY(AgoDom1)=1,IF(AND(YEAR(AgoDom1+6)=AñoCalendario,MONTH(AgoDom1+6)=8),AgoDom1+6,""),IF(AND(YEAR(AgoDom1+13)=AñoCalendario,MONTH(AgoDom1+13)=8),AgoDom1+13,""))</f>
        <v>45514</v>
      </c>
      <c r="Q33" s="28">
        <f>IF(DAY(AgoDom1)=1,IF(AND(YEAR(AgoDom1+7)=AñoCalendario,MONTH(AgoDom1+7)=8),AgoDom1+7,""),IF(AND(YEAR(AgoDom1+14)=AñoCalendario,MONTH(AgoDom1+14)=8),AgoDom1+14,""))</f>
        <v>45515</v>
      </c>
      <c r="S33" s="3"/>
      <c r="U33" s="7"/>
      <c r="V33" s="52"/>
      <c r="W33" s="52"/>
    </row>
    <row r="34" spans="1:23" ht="15" customHeight="1" x14ac:dyDescent="0.15">
      <c r="C34" s="28">
        <f>IF(DAY(JulDom1)=1,IF(AND(YEAR(JulDom1+8)=AñoCalendario,MONTH(JulDom1+8)=7),JulDom1+8,""),IF(AND(YEAR(JulDom1+15)=AñoCalendario,MONTH(JulDom1+15)=7),JulDom1+15,""))</f>
        <v>45488</v>
      </c>
      <c r="D34" s="28">
        <f>IF(DAY(JulDom1)=1,IF(AND(YEAR(JulDom1+9)=AñoCalendario,MONTH(JulDom1+9)=7),JulDom1+9,""),IF(AND(YEAR(JulDom1+16)=AñoCalendario,MONTH(JulDom1+16)=7),JulDom1+16,""))</f>
        <v>45489</v>
      </c>
      <c r="E34" s="28">
        <f>IF(DAY(JulDom1)=1,IF(AND(YEAR(JulDom1+10)=AñoCalendario,MONTH(JulDom1+10)=7),JulDom1+10,""),IF(AND(YEAR(JulDom1+17)=AñoCalendario,MONTH(JulDom1+17)=7),JulDom1+17,""))</f>
        <v>45490</v>
      </c>
      <c r="F34" s="28">
        <f>IF(DAY(JulDom1)=1,IF(AND(YEAR(JulDom1+11)=AñoCalendario,MONTH(JulDom1+11)=7),JulDom1+11,""),IF(AND(YEAR(JulDom1+18)=AñoCalendario,MONTH(JulDom1+18)=7),JulDom1+18,""))</f>
        <v>45491</v>
      </c>
      <c r="G34" s="28">
        <f>IF(DAY(JulDom1)=1,IF(AND(YEAR(JulDom1+12)=AñoCalendario,MONTH(JulDom1+12)=7),JulDom1+12,""),IF(AND(YEAR(JulDom1+19)=AñoCalendario,MONTH(JulDom1+19)=7),JulDom1+19,""))</f>
        <v>45492</v>
      </c>
      <c r="H34" s="29">
        <f>IF(DAY(JulDom1)=1,IF(AND(YEAR(JulDom1+13)=AñoCalendario,MONTH(JulDom1+13)=7),JulDom1+13,""),IF(AND(YEAR(JulDom1+20)=AñoCalendario,MONTH(JulDom1+20)=7),JulDom1+20,""))</f>
        <v>45493</v>
      </c>
      <c r="I34" s="28">
        <f>IF(DAY(JulDom1)=1,IF(AND(YEAR(JulDom1+14)=AñoCalendario,MONTH(JulDom1+14)=7),JulDom1+14,""),IF(AND(YEAR(JulDom1+21)=AñoCalendario,MONTH(JulDom1+21)=7),JulDom1+21,""))</f>
        <v>45494</v>
      </c>
      <c r="K34" s="28">
        <f>IF(DAY(AgoDom1)=1,IF(AND(YEAR(AgoDom1+8)=AñoCalendario,MONTH(AgoDom1+8)=8),AgoDom1+8,""),IF(AND(YEAR(AgoDom1+15)=AñoCalendario,MONTH(AgoDom1+15)=8),AgoDom1+15,""))</f>
        <v>45516</v>
      </c>
      <c r="L34" s="31">
        <f>IF(DAY(AgoDom1)=1,IF(AND(YEAR(AgoDom1+9)=AñoCalendario,MONTH(AgoDom1+9)=8),AgoDom1+9,""),IF(AND(YEAR(AgoDom1+16)=AñoCalendario,MONTH(AgoDom1+16)=8),AgoDom1+16,""))</f>
        <v>45517</v>
      </c>
      <c r="M34" s="28">
        <f>IF(DAY(AgoDom1)=1,IF(AND(YEAR(AgoDom1+10)=AñoCalendario,MONTH(AgoDom1+10)=8),AgoDom1+10,""),IF(AND(YEAR(AgoDom1+17)=AñoCalendario,MONTH(AgoDom1+17)=8),AgoDom1+17,""))</f>
        <v>45518</v>
      </c>
      <c r="N34" s="28">
        <f>IF(DAY(AgoDom1)=1,IF(AND(YEAR(AgoDom1+11)=AñoCalendario,MONTH(AgoDom1+11)=8),AgoDom1+11,""),IF(AND(YEAR(AgoDom1+18)=AñoCalendario,MONTH(AgoDom1+18)=8),AgoDom1+18,""))</f>
        <v>45519</v>
      </c>
      <c r="O34" s="28">
        <f>IF(DAY(AgoDom1)=1,IF(AND(YEAR(AgoDom1+12)=AñoCalendario,MONTH(AgoDom1+12)=8),AgoDom1+12,""),IF(AND(YEAR(AgoDom1+19)=AñoCalendario,MONTH(AgoDom1+19)=8),AgoDom1+19,""))</f>
        <v>45520</v>
      </c>
      <c r="P34" s="28">
        <f>IF(DAY(AgoDom1)=1,IF(AND(YEAR(AgoDom1+13)=AñoCalendario,MONTH(AgoDom1+13)=8),AgoDom1+13,""),IF(AND(YEAR(AgoDom1+20)=AñoCalendario,MONTH(AgoDom1+20)=8),AgoDom1+20,""))</f>
        <v>45521</v>
      </c>
      <c r="Q34" s="28">
        <f>IF(DAY(AgoDom1)=1,IF(AND(YEAR(AgoDom1+14)=AñoCalendario,MONTH(AgoDom1+14)=8),AgoDom1+14,""),IF(AND(YEAR(AgoDom1+21)=AñoCalendario,MONTH(AgoDom1+21)=8),AgoDom1+21,""))</f>
        <v>45522</v>
      </c>
      <c r="S34" s="3"/>
      <c r="U34" s="9"/>
      <c r="V34" s="52"/>
      <c r="W34" s="52"/>
    </row>
    <row r="35" spans="1:23" ht="15" customHeight="1" x14ac:dyDescent="0.15">
      <c r="C35" s="28">
        <f>IF(DAY(JulDom1)=1,IF(AND(YEAR(JulDom1+15)=AñoCalendario,MONTH(JulDom1+15)=7),JulDom1+15,""),IF(AND(YEAR(JulDom1+22)=AñoCalendario,MONTH(JulDom1+22)=7),JulDom1+22,""))</f>
        <v>45495</v>
      </c>
      <c r="D35" s="54">
        <f>IF(DAY(JulDom1)=1,IF(AND(YEAR(JulDom1+16)=AñoCalendario,MONTH(JulDom1+16)=7),JulDom1+16,""),IF(AND(YEAR(JulDom1+23)=AñoCalendario,MONTH(JulDom1+23)=7),JulDom1+23,""))</f>
        <v>45496</v>
      </c>
      <c r="E35" s="42">
        <f>IF(DAY(JulDom1)=1,IF(AND(YEAR(JulDom1+17)=AñoCalendario,MONTH(JulDom1+17)=7),JulDom1+17,""),IF(AND(YEAR(JulDom1+24)=AñoCalendario,MONTH(JulDom1+24)=7),JulDom1+24,""))</f>
        <v>45497</v>
      </c>
      <c r="F35" s="28">
        <f>IF(DAY(JulDom1)=1,IF(AND(YEAR(JulDom1+18)=AñoCalendario,MONTH(JulDom1+18)=7),JulDom1+18,""),IF(AND(YEAR(JulDom1+25)=AñoCalendario,MONTH(JulDom1+25)=7),JulDom1+25,""))</f>
        <v>45498</v>
      </c>
      <c r="G35" s="28">
        <f>IF(DAY(JulDom1)=1,IF(AND(YEAR(JulDom1+19)=AñoCalendario,MONTH(JulDom1+19)=7),JulDom1+19,""),IF(AND(YEAR(JulDom1+26)=AñoCalendario,MONTH(JulDom1+26)=7),JulDom1+26,""))</f>
        <v>45499</v>
      </c>
      <c r="H35" s="28">
        <f>IF(DAY(JulDom1)=1,IF(AND(YEAR(JulDom1+20)=AñoCalendario,MONTH(JulDom1+20)=7),JulDom1+20,""),IF(AND(YEAR(JulDom1+27)=AñoCalendario,MONTH(JulDom1+27)=7),JulDom1+27,""))</f>
        <v>45500</v>
      </c>
      <c r="I35" s="28">
        <f>IF(DAY(JulDom1)=1,IF(AND(YEAR(JulDom1+21)=AñoCalendario,MONTH(JulDom1+21)=7),JulDom1+21,""),IF(AND(YEAR(JulDom1+28)=AñoCalendario,MONTH(JulDom1+28)=7),JulDom1+28,""))</f>
        <v>45501</v>
      </c>
      <c r="K35" s="29">
        <f>IF(DAY(AgoDom1)=1,IF(AND(YEAR(AgoDom1+15)=AñoCalendario,MONTH(AgoDom1+15)=8),AgoDom1+15,""),IF(AND(YEAR(AgoDom1+22)=AñoCalendario,MONTH(AgoDom1+22)=8),AgoDom1+22,""))</f>
        <v>45523</v>
      </c>
      <c r="L35" s="54">
        <f>IF(DAY(AgoDom1)=1,IF(AND(YEAR(AgoDom1+16)=AñoCalendario,MONTH(AgoDom1+16)=8),AgoDom1+16,""),IF(AND(YEAR(AgoDom1+23)=AñoCalendario,MONTH(AgoDom1+23)=8),AgoDom1+23,""))</f>
        <v>45524</v>
      </c>
      <c r="M35" s="42">
        <f>IF(DAY(AgoDom1)=1,IF(AND(YEAR(AgoDom1+17)=AñoCalendario,MONTH(AgoDom1+17)=8),AgoDom1+17,""),IF(AND(YEAR(AgoDom1+24)=AñoCalendario,MONTH(AgoDom1+24)=8),AgoDom1+24,""))</f>
        <v>45525</v>
      </c>
      <c r="N35" s="28">
        <f>IF(DAY(AgoDom1)=1,IF(AND(YEAR(AgoDom1+18)=AñoCalendario,MONTH(AgoDom1+18)=8),AgoDom1+18,""),IF(AND(YEAR(AgoDom1+25)=AñoCalendario,MONTH(AgoDom1+25)=8),AgoDom1+25,""))</f>
        <v>45526</v>
      </c>
      <c r="O35" s="28">
        <f>IF(DAY(AgoDom1)=1,IF(AND(YEAR(AgoDom1+19)=AñoCalendario,MONTH(AgoDom1+19)=8),AgoDom1+19,""),IF(AND(YEAR(AgoDom1+26)=AñoCalendario,MONTH(AgoDom1+26)=8),AgoDom1+26,""))</f>
        <v>45527</v>
      </c>
      <c r="P35" s="28">
        <f>IF(DAY(AgoDom1)=1,IF(AND(YEAR(AgoDom1+20)=AñoCalendario,MONTH(AgoDom1+20)=8),AgoDom1+20,""),IF(AND(YEAR(AgoDom1+27)=AñoCalendario,MONTH(AgoDom1+27)=8),AgoDom1+27,""))</f>
        <v>45528</v>
      </c>
      <c r="Q35" s="28">
        <f>IF(DAY(AgoDom1)=1,IF(AND(YEAR(AgoDom1+21)=AñoCalendario,MONTH(AgoDom1+21)=8),AgoDom1+21,""),IF(AND(YEAR(AgoDom1+28)=AñoCalendario,MONTH(AgoDom1+28)=8),AgoDom1+28,""))</f>
        <v>45529</v>
      </c>
      <c r="S35" s="3"/>
      <c r="U35" s="6"/>
      <c r="V35" s="52"/>
      <c r="W35" s="52"/>
    </row>
    <row r="36" spans="1:23" ht="15" customHeight="1" x14ac:dyDescent="0.15">
      <c r="C36" s="28">
        <f>IF(DAY(JulDom1)=1,IF(AND(YEAR(JulDom1+22)=AñoCalendario,MONTH(JulDom1+22)=7),JulDom1+22,""),IF(AND(YEAR(JulDom1+29)=AñoCalendario,MONTH(JulDom1+29)=7),JulDom1+29,""))</f>
        <v>45502</v>
      </c>
      <c r="D36" s="30">
        <f>IF(DAY(JulDom1)=1,IF(AND(YEAR(JulDom1+23)=AñoCalendario,MONTH(JulDom1+23)=7),JulDom1+23,""),IF(AND(YEAR(JulDom1+30)=AñoCalendario,MONTH(JulDom1+30)=7),JulDom1+30,""))</f>
        <v>45503</v>
      </c>
      <c r="E36" s="28">
        <f>IF(DAY(JulDom1)=1,IF(AND(YEAR(JulDom1+24)=AñoCalendario,MONTH(JulDom1+24)=7),JulDom1+24,""),IF(AND(YEAR(JulDom1+31)=AñoCalendario,MONTH(JulDom1+31)=7),JulDom1+31,""))</f>
        <v>45504</v>
      </c>
      <c r="F36" s="28" t="str">
        <f>IF(DAY(JulDom1)=1,IF(AND(YEAR(JulDom1+25)=AñoCalendario,MONTH(JulDom1+25)=7),JulDom1+25,""),IF(AND(YEAR(JulDom1+32)=AñoCalendario,MONTH(JulDom1+32)=7),JulDom1+32,""))</f>
        <v/>
      </c>
      <c r="G36" s="28" t="str">
        <f>IF(DAY(JulDom1)=1,IF(AND(YEAR(JulDom1+26)=AñoCalendario,MONTH(JulDom1+26)=7),JulDom1+26,""),IF(AND(YEAR(JulDom1+33)=AñoCalendario,MONTH(JulDom1+33)=7),JulDom1+33,""))</f>
        <v/>
      </c>
      <c r="H36" s="28" t="str">
        <f>IF(DAY(JulDom1)=1,IF(AND(YEAR(JulDom1+27)=AñoCalendario,MONTH(JulDom1+27)=7),JulDom1+27,""),IF(AND(YEAR(JulDom1+34)=AñoCalendario,MONTH(JulDom1+34)=7),JulDom1+34,""))</f>
        <v/>
      </c>
      <c r="I36" s="28" t="str">
        <f>IF(DAY(JulDom1)=1,IF(AND(YEAR(JulDom1+28)=AñoCalendario,MONTH(JulDom1+28)=7),JulDom1+28,""),IF(AND(YEAR(JulDom1+35)=AñoCalendario,MONTH(JulDom1+35)=7),JulDom1+35,""))</f>
        <v/>
      </c>
      <c r="K36" s="28">
        <f>IF(DAY(AgoDom1)=1,IF(AND(YEAR(AgoDom1+22)=AñoCalendario,MONTH(AgoDom1+22)=8),AgoDom1+22,""),IF(AND(YEAR(AgoDom1+29)=AñoCalendario,MONTH(AgoDom1+29)=8),AgoDom1+29,""))</f>
        <v>45530</v>
      </c>
      <c r="L36" s="30">
        <f>IF(DAY(AgoDom1)=1,IF(AND(YEAR(AgoDom1+23)=AñoCalendario,MONTH(AgoDom1+23)=8),AgoDom1+23,""),IF(AND(YEAR(AgoDom1+30)=AñoCalendario,MONTH(AgoDom1+30)=8),AgoDom1+30,""))</f>
        <v>45531</v>
      </c>
      <c r="M36" s="28">
        <f>IF(DAY(AgoDom1)=1,IF(AND(YEAR(AgoDom1+24)=AñoCalendario,MONTH(AgoDom1+24)=8),AgoDom1+24,""),IF(AND(YEAR(AgoDom1+31)=AñoCalendario,MONTH(AgoDom1+31)=8),AgoDom1+31,""))</f>
        <v>45532</v>
      </c>
      <c r="N36" s="28">
        <f>IF(DAY(AgoDom1)=1,IF(AND(YEAR(AgoDom1+25)=AñoCalendario,MONTH(AgoDom1+25)=8),AgoDom1+25,""),IF(AND(YEAR(AgoDom1+32)=AñoCalendario,MONTH(AgoDom1+32)=8),AgoDom1+32,""))</f>
        <v>45533</v>
      </c>
      <c r="O36" s="44">
        <f>IF(DAY(AgoDom1)=1,IF(AND(YEAR(AgoDom1+26)=AñoCalendario,MONTH(AgoDom1+26)=8),AgoDom1+26,""),IF(AND(YEAR(AgoDom1+33)=AñoCalendario,MONTH(AgoDom1+33)=8),AgoDom1+33,""))</f>
        <v>45534</v>
      </c>
      <c r="P36" s="28">
        <f>IF(DAY(AgoDom1)=1,IF(AND(YEAR(AgoDom1+27)=AñoCalendario,MONTH(AgoDom1+27)=8),AgoDom1+27,""),IF(AND(YEAR(AgoDom1+34)=AñoCalendario,MONTH(AgoDom1+34)=8),AgoDom1+34,""))</f>
        <v>45535</v>
      </c>
      <c r="Q36" s="28" t="str">
        <f>IF(DAY(AgoDom1)=1,IF(AND(YEAR(AgoDom1+28)=AñoCalendario,MONTH(AgoDom1+28)=8),AgoDom1+28,""),IF(AND(YEAR(AgoDom1+35)=AñoCalendario,MONTH(AgoDom1+35)=8),AgoDom1+35,""))</f>
        <v/>
      </c>
      <c r="S36" s="3"/>
      <c r="U36" s="7"/>
      <c r="V36" s="52"/>
      <c r="W36" s="52"/>
    </row>
    <row r="37" spans="1:23" ht="15" customHeight="1" x14ac:dyDescent="0.15">
      <c r="C37" s="28" t="str">
        <f>IF(DAY(JulDom1)=1,IF(AND(YEAR(JulDom1+29)=AñoCalendario,MONTH(JulDom1+29)=7),JulDom1+29,""),IF(AND(YEAR(JulDom1+36)=AñoCalendario,MONTH(JulDom1+36)=7),JulDom1+36,""))</f>
        <v/>
      </c>
      <c r="D37" s="28" t="str">
        <f>IF(DAY(JulDom1)=1,IF(AND(YEAR(JulDom1+30)=AñoCalendario,MONTH(JulDom1+30)=7),JulDom1+30,""),IF(AND(YEAR(JulDom1+37)=AñoCalendario,MONTH(JulDom1+37)=7),JulDom1+37,""))</f>
        <v/>
      </c>
      <c r="E37" s="28" t="str">
        <f>IF(DAY(JulDom1)=1,IF(AND(YEAR(JulDom1+31)=AñoCalendario,MONTH(JulDom1+31)=7),JulDom1+31,""),IF(AND(YEAR(JulDom1+38)=AñoCalendario,MONTH(JulDom1+38)=7),JulDom1+38,""))</f>
        <v/>
      </c>
      <c r="F37" s="28" t="str">
        <f>IF(DAY(JulDom1)=1,IF(AND(YEAR(JulDom1+32)=AñoCalendario,MONTH(JulDom1+32)=7),JulDom1+32,""),IF(AND(YEAR(JulDom1+39)=AñoCalendario,MONTH(JulDom1+39)=7),JulDom1+39,""))</f>
        <v/>
      </c>
      <c r="G37" s="28" t="str">
        <f>IF(DAY(JulDom1)=1,IF(AND(YEAR(JulDom1+33)=AñoCalendario,MONTH(JulDom1+33)=7),JulDom1+33,""),IF(AND(YEAR(JulDom1+40)=AñoCalendario,MONTH(JulDom1+40)=7),JulDom1+40,""))</f>
        <v/>
      </c>
      <c r="H37" s="28" t="str">
        <f>IF(DAY(JulDom1)=1,IF(AND(YEAR(JulDom1+34)=AñoCalendario,MONTH(JulDom1+34)=7),JulDom1+34,""),IF(AND(YEAR(JulDom1+41)=AñoCalendario,MONTH(JulDom1+41)=7),JulDom1+41,""))</f>
        <v/>
      </c>
      <c r="I37" s="28" t="str">
        <f>IF(DAY(JulDom1)=1,IF(AND(YEAR(JulDom1+35)=AñoCalendario,MONTH(JulDom1+35)=7),JulDom1+35,""),IF(AND(YEAR(JulDom1+42)=AñoCalendario,MONTH(JulDom1+42)=7),JulDom1+42,""))</f>
        <v/>
      </c>
      <c r="K37" s="28" t="str">
        <f>IF(DAY(AgoDom1)=1,IF(AND(YEAR(AgoDom1+29)=AñoCalendario,MONTH(AgoDom1+29)=8),AgoDom1+29,""),IF(AND(YEAR(AgoDom1+36)=AñoCalendario,MONTH(AgoDom1+36)=8),AgoDom1+36,""))</f>
        <v/>
      </c>
      <c r="L37" s="28" t="str">
        <f>IF(DAY(AgoDom1)=1,IF(AND(YEAR(AgoDom1+30)=AñoCalendario,MONTH(AgoDom1+30)=8),AgoDom1+30,""),IF(AND(YEAR(AgoDom1+37)=AñoCalendario,MONTH(AgoDom1+37)=8),AgoDom1+37,""))</f>
        <v/>
      </c>
      <c r="M37" s="28" t="str">
        <f>IF(DAY(AgoDom1)=1,IF(AND(YEAR(AgoDom1+31)=AñoCalendario,MONTH(AgoDom1+31)=8),AgoDom1+31,""),IF(AND(YEAR(AgoDom1+38)=AñoCalendario,MONTH(AgoDom1+38)=8),AgoDom1+38,""))</f>
        <v/>
      </c>
      <c r="N37" s="28" t="str">
        <f>IF(DAY(AgoDom1)=1,IF(AND(YEAR(AgoDom1+32)=AñoCalendario,MONTH(AgoDom1+32)=8),AgoDom1+32,""),IF(AND(YEAR(AgoDom1+39)=AñoCalendario,MONTH(AgoDom1+39)=8),AgoDom1+39,""))</f>
        <v/>
      </c>
      <c r="O37" s="28" t="str">
        <f>IF(DAY(AgoDom1)=1,IF(AND(YEAR(AgoDom1+33)=AñoCalendario,MONTH(AgoDom1+33)=8),AgoDom1+33,""),IF(AND(YEAR(AgoDom1+40)=AñoCalendario,MONTH(AgoDom1+40)=8),AgoDom1+40,""))</f>
        <v/>
      </c>
      <c r="P37" s="28" t="str">
        <f>IF(DAY(AgoDom1)=1,IF(AND(YEAR(AgoDom1+34)=AñoCalendario,MONTH(AgoDom1+34)=8),AgoDom1+34,""),IF(AND(YEAR(AgoDom1+41)=AñoCalendario,MONTH(AgoDom1+41)=8),AgoDom1+41,""))</f>
        <v/>
      </c>
      <c r="Q37" s="28" t="str">
        <f>IF(DAY(AgoDom1)=1,IF(AND(YEAR(AgoDom1+35)=AñoCalendario,MONTH(AgoDom1+35)=8),AgoDom1+35,""),IF(AND(YEAR(AgoDom1+42)=AñoCalendario,MONTH(AgoDom1+42)=8),AgoDom1+42,""))</f>
        <v/>
      </c>
      <c r="S37" s="3"/>
      <c r="U37" s="9"/>
      <c r="V37" s="52"/>
      <c r="W37" s="52"/>
    </row>
    <row r="38" spans="1:23" ht="15" customHeight="1" x14ac:dyDescent="0.15">
      <c r="C38" s="1"/>
      <c r="D38" s="1"/>
      <c r="E38" s="1"/>
      <c r="F38" s="1"/>
      <c r="G38" s="1"/>
      <c r="H38" s="1"/>
      <c r="I38" s="1"/>
      <c r="K38" s="1"/>
      <c r="L38" s="1"/>
      <c r="M38" s="1"/>
      <c r="N38" s="1"/>
      <c r="O38" s="1"/>
      <c r="P38" s="1"/>
      <c r="Q38" s="1"/>
      <c r="S38" s="3"/>
      <c r="U38" s="6"/>
      <c r="V38" s="52"/>
      <c r="W38" s="52"/>
    </row>
    <row r="39" spans="1:23" ht="15" customHeight="1" x14ac:dyDescent="0.2">
      <c r="A39" s="23" t="s">
        <v>38</v>
      </c>
      <c r="C39" s="49" t="s">
        <v>12</v>
      </c>
      <c r="D39" s="49"/>
      <c r="E39" s="49"/>
      <c r="F39" s="49"/>
      <c r="G39" s="49"/>
      <c r="H39" s="49"/>
      <c r="I39" s="49"/>
      <c r="K39" s="49" t="s">
        <v>24</v>
      </c>
      <c r="L39" s="49"/>
      <c r="M39" s="49"/>
      <c r="N39" s="49"/>
      <c r="O39" s="49"/>
      <c r="P39" s="49"/>
      <c r="Q39" s="49"/>
      <c r="S39" s="3"/>
      <c r="U39" s="7"/>
      <c r="V39" s="52"/>
      <c r="W39" s="52"/>
    </row>
    <row r="40" spans="1:23" ht="15" customHeight="1" x14ac:dyDescent="0.15">
      <c r="A40" s="23" t="s">
        <v>39</v>
      </c>
      <c r="C40" s="16" t="s">
        <v>27</v>
      </c>
      <c r="D40" s="16" t="s">
        <v>14</v>
      </c>
      <c r="E40" s="16" t="s">
        <v>15</v>
      </c>
      <c r="F40" s="16" t="s">
        <v>16</v>
      </c>
      <c r="G40" s="16" t="s">
        <v>17</v>
      </c>
      <c r="H40" s="16" t="s">
        <v>18</v>
      </c>
      <c r="I40" s="16" t="s">
        <v>19</v>
      </c>
      <c r="K40" s="16" t="s">
        <v>27</v>
      </c>
      <c r="L40" s="16" t="s">
        <v>14</v>
      </c>
      <c r="M40" s="16" t="s">
        <v>15</v>
      </c>
      <c r="N40" s="16" t="s">
        <v>16</v>
      </c>
      <c r="O40" s="16" t="s">
        <v>17</v>
      </c>
      <c r="P40" s="16" t="s">
        <v>18</v>
      </c>
      <c r="Q40" s="16" t="s">
        <v>19</v>
      </c>
      <c r="S40" s="3"/>
      <c r="U40" s="9"/>
      <c r="V40" s="52"/>
      <c r="W40" s="52"/>
    </row>
    <row r="41" spans="1:23" ht="15" customHeight="1" x14ac:dyDescent="0.15">
      <c r="C41" s="28" t="str">
        <f>IF(DAY(SepDom1)=1,"",IF(AND(YEAR(SepDom1+1)=AñoCalendario,MONTH(SepDom1+1)=9),SepDom1+1,""))</f>
        <v/>
      </c>
      <c r="D41" s="28" t="str">
        <f>IF(DAY(SepDom1)=1,"",IF(AND(YEAR(SepDom1+2)=AñoCalendario,MONTH(SepDom1+2)=9),SepDom1+2,""))</f>
        <v/>
      </c>
      <c r="E41" s="28" t="str">
        <f>IF(DAY(SepDom1)=1,"",IF(AND(YEAR(SepDom1+3)=AñoCalendario,MONTH(SepDom1+3)=9),SepDom1+3,""))</f>
        <v/>
      </c>
      <c r="F41" s="28" t="str">
        <f>IF(DAY(SepDom1)=1,"",IF(AND(YEAR(SepDom1+4)=AñoCalendario,MONTH(SepDom1+4)=9),SepDom1+4,""))</f>
        <v/>
      </c>
      <c r="G41" s="28" t="str">
        <f>IF(DAY(SepDom1)=1,"",IF(AND(YEAR(SepDom1+5)=AñoCalendario,MONTH(SepDom1+5)=9),SepDom1+5,""))</f>
        <v/>
      </c>
      <c r="H41" s="28" t="str">
        <f>IF(DAY(SepDom1)=1,"",IF(AND(YEAR(SepDom1+6)=AñoCalendario,MONTH(SepDom1+6)=9),SepDom1+6,""))</f>
        <v/>
      </c>
      <c r="I41" s="28">
        <f>IF(DAY(SepDom1)=1,IF(AND(YEAR(SepDom1)=AñoCalendario,MONTH(SepDom1)=9),SepDom1,""),IF(AND(YEAR(SepDom1+7)=AñoCalendario,MONTH(SepDom1+7)=9),SepDom1+7,""))</f>
        <v>45536</v>
      </c>
      <c r="K41" s="28" t="str">
        <f>IF(DAY(OctDom1)=1,"",IF(AND(YEAR(OctDom1+1)=AñoCalendario,MONTH(OctDom1+1)=10),OctDom1+1,""))</f>
        <v/>
      </c>
      <c r="L41" s="28">
        <f>IF(DAY(OctDom1)=1,"",IF(AND(YEAR(OctDom1+2)=AñoCalendario,MONTH(OctDom1+2)=10),OctDom1+2,""))</f>
        <v>45566</v>
      </c>
      <c r="M41" s="28">
        <f>IF(DAY(OctDom1)=1,"",IF(AND(YEAR(OctDom1+3)=AñoCalendario,MONTH(OctDom1+3)=10),OctDom1+3,""))</f>
        <v>45567</v>
      </c>
      <c r="N41" s="28">
        <f>IF(DAY(OctDom1)=1,"",IF(AND(YEAR(OctDom1+4)=AñoCalendario,MONTH(OctDom1+4)=10),OctDom1+4,""))</f>
        <v>45568</v>
      </c>
      <c r="O41" s="28">
        <f>IF(DAY(OctDom1)=1,"",IF(AND(YEAR(OctDom1+5)=AñoCalendario,MONTH(OctDom1+5)=10),OctDom1+5,""))</f>
        <v>45569</v>
      </c>
      <c r="P41" s="28">
        <f>IF(DAY(OctDom1)=1,"",IF(AND(YEAR(OctDom1+6)=AñoCalendario,MONTH(OctDom1+6)=10),OctDom1+6,""))</f>
        <v>45570</v>
      </c>
      <c r="Q41" s="28">
        <f>IF(DAY(OctDom1)=1,IF(AND(YEAR(OctDom1)=AñoCalendario,MONTH(OctDom1)=10),OctDom1,""),IF(AND(YEAR(OctDom1+7)=AñoCalendario,MONTH(OctDom1+7)=10),OctDom1+7,""))</f>
        <v>45571</v>
      </c>
      <c r="S41" s="3"/>
      <c r="U41" s="6"/>
      <c r="V41" s="52"/>
      <c r="W41" s="52"/>
    </row>
    <row r="42" spans="1:23" ht="15" customHeight="1" x14ac:dyDescent="0.15">
      <c r="C42" s="28">
        <f>IF(DAY(SepDom1)=1,IF(AND(YEAR(SepDom1+1)=AñoCalendario,MONTH(SepDom1+1)=9),SepDom1+1,""),IF(AND(YEAR(SepDom1+8)=AñoCalendario,MONTH(SepDom1+8)=9),SepDom1+8,""))</f>
        <v>45537</v>
      </c>
      <c r="D42" s="28">
        <f>IF(DAY(SepDom1)=1,IF(AND(YEAR(SepDom1+2)=AñoCalendario,MONTH(SepDom1+2)=9),SepDom1+2,""),IF(AND(YEAR(SepDom1+9)=AñoCalendario,MONTH(SepDom1+9)=9),SepDom1+9,""))</f>
        <v>45538</v>
      </c>
      <c r="E42" s="28">
        <f>IF(DAY(SepDom1)=1,IF(AND(YEAR(SepDom1+3)=AñoCalendario,MONTH(SepDom1+3)=9),SepDom1+3,""),IF(AND(YEAR(SepDom1+10)=AñoCalendario,MONTH(SepDom1+10)=9),SepDom1+10,""))</f>
        <v>45539</v>
      </c>
      <c r="F42" s="28">
        <f>IF(DAY(SepDom1)=1,IF(AND(YEAR(SepDom1+4)=AñoCalendario,MONTH(SepDom1+4)=9),SepDom1+4,""),IF(AND(YEAR(SepDom1+11)=AñoCalendario,MONTH(SepDom1+11)=9),SepDom1+11,""))</f>
        <v>45540</v>
      </c>
      <c r="G42" s="28">
        <f>IF(DAY(SepDom1)=1,IF(AND(YEAR(SepDom1+5)=AñoCalendario,MONTH(SepDom1+5)=9),SepDom1+5,""),IF(AND(YEAR(SepDom1+12)=AñoCalendario,MONTH(SepDom1+12)=9),SepDom1+12,""))</f>
        <v>45541</v>
      </c>
      <c r="H42" s="28">
        <f>IF(DAY(SepDom1)=1,IF(AND(YEAR(SepDom1+6)=AñoCalendario,MONTH(SepDom1+6)=9),SepDom1+6,""),IF(AND(YEAR(SepDom1+13)=AñoCalendario,MONTH(SepDom1+13)=9),SepDom1+13,""))</f>
        <v>45542</v>
      </c>
      <c r="I42" s="28">
        <f>IF(DAY(SepDom1)=1,IF(AND(YEAR(SepDom1+7)=AñoCalendario,MONTH(SepDom1+7)=9),SepDom1+7,""),IF(AND(YEAR(SepDom1+14)=AñoCalendario,MONTH(SepDom1+14)=9),SepDom1+14,""))</f>
        <v>45543</v>
      </c>
      <c r="K42" s="28">
        <f>IF(DAY(OctDom1)=1,IF(AND(YEAR(OctDom1+1)=AñoCalendario,MONTH(OctDom1+1)=10),OctDom1+1,""),IF(AND(YEAR(OctDom1+8)=AñoCalendario,MONTH(OctDom1+8)=10),OctDom1+8,""))</f>
        <v>45572</v>
      </c>
      <c r="L42" s="31">
        <f>IF(DAY(OctDom1)=1,IF(AND(YEAR(OctDom1+2)=AñoCalendario,MONTH(OctDom1+2)=10),OctDom1+2,""),IF(AND(YEAR(OctDom1+9)=AñoCalendario,MONTH(OctDom1+9)=10),OctDom1+9,""))</f>
        <v>45573</v>
      </c>
      <c r="M42" s="28">
        <f>IF(DAY(OctDom1)=1,IF(AND(YEAR(OctDom1+3)=AñoCalendario,MONTH(OctDom1+3)=10),OctDom1+3,""),IF(AND(YEAR(OctDom1+10)=AñoCalendario,MONTH(OctDom1+10)=10),OctDom1+10,""))</f>
        <v>45574</v>
      </c>
      <c r="N42" s="28">
        <f>IF(DAY(OctDom1)=1,IF(AND(YEAR(OctDom1+4)=AñoCalendario,MONTH(OctDom1+4)=10),OctDom1+4,""),IF(AND(YEAR(OctDom1+11)=AñoCalendario,MONTH(OctDom1+11)=10),OctDom1+11,""))</f>
        <v>45575</v>
      </c>
      <c r="O42" s="28">
        <f>IF(DAY(OctDom1)=1,IF(AND(YEAR(OctDom1+5)=AñoCalendario,MONTH(OctDom1+5)=10),OctDom1+5,""),IF(AND(YEAR(OctDom1+12)=AñoCalendario,MONTH(OctDom1+12)=10),OctDom1+12,""))</f>
        <v>45576</v>
      </c>
      <c r="P42" s="28">
        <f>IF(DAY(OctDom1)=1,IF(AND(YEAR(OctDom1+6)=AñoCalendario,MONTH(OctDom1+6)=10),OctDom1+6,""),IF(AND(YEAR(OctDom1+13)=AñoCalendario,MONTH(OctDom1+13)=10),OctDom1+13,""))</f>
        <v>45577</v>
      </c>
      <c r="Q42" s="28">
        <f>IF(DAY(OctDom1)=1,IF(AND(YEAR(OctDom1+7)=AñoCalendario,MONTH(OctDom1+7)=10),OctDom1+7,""),IF(AND(YEAR(OctDom1+14)=AñoCalendario,MONTH(OctDom1+14)=10),OctDom1+14,""))</f>
        <v>45578</v>
      </c>
      <c r="S42" s="3"/>
      <c r="U42" s="6"/>
      <c r="V42" s="52"/>
      <c r="W42" s="52"/>
    </row>
    <row r="43" spans="1:23" ht="15" customHeight="1" x14ac:dyDescent="0.15">
      <c r="C43" s="28">
        <f>IF(DAY(SepDom1)=1,IF(AND(YEAR(SepDom1+8)=AñoCalendario,MONTH(SepDom1+8)=9),SepDom1+8,""),IF(AND(YEAR(SepDom1+15)=AñoCalendario,MONTH(SepDom1+15)=9),SepDom1+15,""))</f>
        <v>45544</v>
      </c>
      <c r="D43" s="31">
        <f>IF(DAY(SepDom1)=1,IF(AND(YEAR(SepDom1+9)=AñoCalendario,MONTH(SepDom1+9)=9),SepDom1+9,""),IF(AND(YEAR(SepDom1+16)=AñoCalendario,MONTH(SepDom1+16)=9),SepDom1+16,""))</f>
        <v>45545</v>
      </c>
      <c r="E43" s="28">
        <f>IF(DAY(SepDom1)=1,IF(AND(YEAR(SepDom1+10)=AñoCalendario,MONTH(SepDom1+10)=9),SepDom1+10,""),IF(AND(YEAR(SepDom1+17)=AñoCalendario,MONTH(SepDom1+17)=9),SepDom1+17,""))</f>
        <v>45546</v>
      </c>
      <c r="F43" s="28">
        <f>IF(DAY(SepDom1)=1,IF(AND(YEAR(SepDom1+11)=AñoCalendario,MONTH(SepDom1+11)=9),SepDom1+11,""),IF(AND(YEAR(SepDom1+18)=AñoCalendario,MONTH(SepDom1+18)=9),SepDom1+18,""))</f>
        <v>45547</v>
      </c>
      <c r="G43" s="28">
        <f>IF(DAY(SepDom1)=1,IF(AND(YEAR(SepDom1+12)=AñoCalendario,MONTH(SepDom1+12)=9),SepDom1+12,""),IF(AND(YEAR(SepDom1+19)=AñoCalendario,MONTH(SepDom1+19)=9),SepDom1+19,""))</f>
        <v>45548</v>
      </c>
      <c r="H43" s="28">
        <f>IF(DAY(SepDom1)=1,IF(AND(YEAR(SepDom1+13)=AñoCalendario,MONTH(SepDom1+13)=9),SepDom1+13,""),IF(AND(YEAR(SepDom1+20)=AñoCalendario,MONTH(SepDom1+20)=9),SepDom1+20,""))</f>
        <v>45549</v>
      </c>
      <c r="I43" s="28">
        <f>IF(DAY(SepDom1)=1,IF(AND(YEAR(SepDom1+14)=AñoCalendario,MONTH(SepDom1+14)=9),SepDom1+14,""),IF(AND(YEAR(SepDom1+21)=AñoCalendario,MONTH(SepDom1+21)=9),SepDom1+21,""))</f>
        <v>45550</v>
      </c>
      <c r="K43" s="29">
        <f>IF(DAY(OctDom1)=1,IF(AND(YEAR(OctDom1+8)=AñoCalendario,MONTH(OctDom1+8)=10),OctDom1+8,""),IF(AND(YEAR(OctDom1+15)=AñoCalendario,MONTH(OctDom1+15)=10),OctDom1+15,""))</f>
        <v>45579</v>
      </c>
      <c r="L43" s="28">
        <f>IF(DAY(OctDom1)=1,IF(AND(YEAR(OctDom1+9)=AñoCalendario,MONTH(OctDom1+9)=10),OctDom1+9,""),IF(AND(YEAR(OctDom1+16)=AñoCalendario,MONTH(OctDom1+16)=10),OctDom1+16,""))</f>
        <v>45580</v>
      </c>
      <c r="M43" s="28">
        <f>IF(DAY(OctDom1)=1,IF(AND(YEAR(OctDom1+10)=AñoCalendario,MONTH(OctDom1+10)=10),OctDom1+10,""),IF(AND(YEAR(OctDom1+17)=AñoCalendario,MONTH(OctDom1+17)=10),OctDom1+17,""))</f>
        <v>45581</v>
      </c>
      <c r="N43" s="28">
        <f>IF(DAY(OctDom1)=1,IF(AND(YEAR(OctDom1+11)=AñoCalendario,MONTH(OctDom1+11)=10),OctDom1+11,""),IF(AND(YEAR(OctDom1+18)=AñoCalendario,MONTH(OctDom1+18)=10),OctDom1+18,""))</f>
        <v>45582</v>
      </c>
      <c r="O43" s="28">
        <f>IF(DAY(OctDom1)=1,IF(AND(YEAR(OctDom1+12)=AñoCalendario,MONTH(OctDom1+12)=10),OctDom1+12,""),IF(AND(YEAR(OctDom1+19)=AñoCalendario,MONTH(OctDom1+19)=10),OctDom1+19,""))</f>
        <v>45583</v>
      </c>
      <c r="P43" s="28">
        <f>IF(DAY(OctDom1)=1,IF(AND(YEAR(OctDom1+13)=AñoCalendario,MONTH(OctDom1+13)=10),OctDom1+13,""),IF(AND(YEAR(OctDom1+20)=AñoCalendario,MONTH(OctDom1+20)=10),OctDom1+20,""))</f>
        <v>45584</v>
      </c>
      <c r="Q43" s="28">
        <f>IF(DAY(OctDom1)=1,IF(AND(YEAR(OctDom1+14)=AñoCalendario,MONTH(OctDom1+14)=10),OctDom1+14,""),IF(AND(YEAR(OctDom1+21)=AñoCalendario,MONTH(OctDom1+21)=10),OctDom1+21,""))</f>
        <v>45585</v>
      </c>
      <c r="S43" s="3"/>
      <c r="U43" s="9"/>
      <c r="V43" s="52"/>
      <c r="W43" s="52"/>
    </row>
    <row r="44" spans="1:23" ht="15" customHeight="1" x14ac:dyDescent="0.15">
      <c r="A44" s="23" t="s">
        <v>40</v>
      </c>
      <c r="C44" s="28">
        <f>IF(DAY(SepDom1)=1,IF(AND(YEAR(SepDom1+15)=AñoCalendario,MONTH(SepDom1+15)=9),SepDom1+15,""),IF(AND(YEAR(SepDom1+22)=AñoCalendario,MONTH(SepDom1+22)=9),SepDom1+22,""))</f>
        <v>45551</v>
      </c>
      <c r="D44" s="54">
        <f>IF(DAY(SepDom1)=1,IF(AND(YEAR(SepDom1+16)=AñoCalendario,MONTH(SepDom1+16)=9),SepDom1+16,""),IF(AND(YEAR(SepDom1+23)=AñoCalendario,MONTH(SepDom1+23)=9),SepDom1+23,""))</f>
        <v>45552</v>
      </c>
      <c r="E44" s="42">
        <f>IF(DAY(SepDom1)=1,IF(AND(YEAR(SepDom1+17)=AñoCalendario,MONTH(SepDom1+17)=9),SepDom1+17,""),IF(AND(YEAR(SepDom1+24)=AñoCalendario,MONTH(SepDom1+24)=9),SepDom1+24,""))</f>
        <v>45553</v>
      </c>
      <c r="F44" s="28">
        <f>IF(DAY(SepDom1)=1,IF(AND(YEAR(SepDom1+18)=AñoCalendario,MONTH(SepDom1+18)=9),SepDom1+18,""),IF(AND(YEAR(SepDom1+25)=AñoCalendario,MONTH(SepDom1+25)=9),SepDom1+25,""))</f>
        <v>45554</v>
      </c>
      <c r="G44" s="28">
        <f>IF(DAY(SepDom1)=1,IF(AND(YEAR(SepDom1+19)=AñoCalendario,MONTH(SepDom1+19)=9),SepDom1+19,""),IF(AND(YEAR(SepDom1+26)=AñoCalendario,MONTH(SepDom1+26)=9),SepDom1+26,""))</f>
        <v>45555</v>
      </c>
      <c r="H44" s="28">
        <f>IF(DAY(SepDom1)=1,IF(AND(YEAR(SepDom1+20)=AñoCalendario,MONTH(SepDom1+20)=9),SepDom1+20,""),IF(AND(YEAR(SepDom1+27)=AñoCalendario,MONTH(SepDom1+27)=9),SepDom1+27,""))</f>
        <v>45556</v>
      </c>
      <c r="I44" s="28">
        <f>IF(DAY(SepDom1)=1,IF(AND(YEAR(SepDom1+21)=AñoCalendario,MONTH(SepDom1+21)=9),SepDom1+21,""),IF(AND(YEAR(SepDom1+28)=AñoCalendario,MONTH(SepDom1+28)=9),SepDom1+28,""))</f>
        <v>45557</v>
      </c>
      <c r="K44" s="28">
        <f>IF(DAY(OctDom1)=1,IF(AND(YEAR(OctDom1+15)=AñoCalendario,MONTH(OctDom1+15)=10),OctDom1+15,""),IF(AND(YEAR(OctDom1+22)=AñoCalendario,MONTH(OctDom1+22)=10),OctDom1+22,""))</f>
        <v>45586</v>
      </c>
      <c r="L44" s="54">
        <f>IF(DAY(OctDom1)=1,IF(AND(YEAR(OctDom1+16)=AñoCalendario,MONTH(OctDom1+16)=10),OctDom1+16,""),IF(AND(YEAR(OctDom1+23)=AñoCalendario,MONTH(OctDom1+23)=10),OctDom1+23,""))</f>
        <v>45587</v>
      </c>
      <c r="M44" s="42">
        <f>IF(DAY(OctDom1)=1,IF(AND(YEAR(OctDom1+17)=AñoCalendario,MONTH(OctDom1+17)=10),OctDom1+17,""),IF(AND(YEAR(OctDom1+24)=AñoCalendario,MONTH(OctDom1+24)=10),OctDom1+24,""))</f>
        <v>45588</v>
      </c>
      <c r="N44" s="28">
        <f>IF(DAY(OctDom1)=1,IF(AND(YEAR(OctDom1+18)=AñoCalendario,MONTH(OctDom1+18)=10),OctDom1+18,""),IF(AND(YEAR(OctDom1+25)=AñoCalendario,MONTH(OctDom1+25)=10),OctDom1+25,""))</f>
        <v>45589</v>
      </c>
      <c r="O44" s="28">
        <f>IF(DAY(OctDom1)=1,IF(AND(YEAR(OctDom1+19)=AñoCalendario,MONTH(OctDom1+19)=10),OctDom1+19,""),IF(AND(YEAR(OctDom1+26)=AñoCalendario,MONTH(OctDom1+26)=10),OctDom1+26,""))</f>
        <v>45590</v>
      </c>
      <c r="P44" s="28">
        <f>IF(DAY(OctDom1)=1,IF(AND(YEAR(OctDom1+20)=AñoCalendario,MONTH(OctDom1+20)=10),OctDom1+20,""),IF(AND(YEAR(OctDom1+27)=AñoCalendario,MONTH(OctDom1+27)=10),OctDom1+27,""))</f>
        <v>45591</v>
      </c>
      <c r="Q44" s="28">
        <f>IF(DAY(OctDom1)=1,IF(AND(YEAR(OctDom1+21)=AñoCalendario,MONTH(OctDom1+21)=10),OctDom1+21,""),IF(AND(YEAR(OctDom1+28)=AñoCalendario,MONTH(OctDom1+28)=10),OctDom1+28,""))</f>
        <v>45592</v>
      </c>
      <c r="S44" s="3"/>
      <c r="U44" s="14"/>
      <c r="V44" s="52"/>
      <c r="W44" s="52"/>
    </row>
    <row r="45" spans="1:23" ht="15" customHeight="1" x14ac:dyDescent="0.15">
      <c r="A45" s="23" t="s">
        <v>41</v>
      </c>
      <c r="C45" s="28">
        <f>IF(DAY(SepDom1)=1,IF(AND(YEAR(SepDom1+22)=AñoCalendario,MONTH(SepDom1+22)=9),SepDom1+22,""),IF(AND(YEAR(SepDom1+29)=AñoCalendario,MONTH(SepDom1+29)=9),SepDom1+29,""))</f>
        <v>45558</v>
      </c>
      <c r="D45" s="30">
        <f>IF(DAY(SepDom1)=1,IF(AND(YEAR(SepDom1+23)=AñoCalendario,MONTH(SepDom1+23)=9),SepDom1+23,""),IF(AND(YEAR(SepDom1+30)=AñoCalendario,MONTH(SepDom1+30)=9),SepDom1+30,""))</f>
        <v>45559</v>
      </c>
      <c r="E45" s="28">
        <f>IF(DAY(SepDom1)=1,IF(AND(YEAR(SepDom1+24)=AñoCalendario,MONTH(SepDom1+24)=9),SepDom1+24,""),IF(AND(YEAR(SepDom1+31)=AñoCalendario,MONTH(SepDom1+31)=9),SepDom1+31,""))</f>
        <v>45560</v>
      </c>
      <c r="F45" s="28">
        <f>IF(DAY(SepDom1)=1,IF(AND(YEAR(SepDom1+25)=AñoCalendario,MONTH(SepDom1+25)=9),SepDom1+25,""),IF(AND(YEAR(SepDom1+32)=AñoCalendario,MONTH(SepDom1+32)=9),SepDom1+32,""))</f>
        <v>45561</v>
      </c>
      <c r="G45" s="28">
        <f>IF(DAY(SepDom1)=1,IF(AND(YEAR(SepDom1+26)=AñoCalendario,MONTH(SepDom1+26)=9),SepDom1+26,""),IF(AND(YEAR(SepDom1+33)=AñoCalendario,MONTH(SepDom1+33)=9),SepDom1+33,""))</f>
        <v>45562</v>
      </c>
      <c r="H45" s="28">
        <f>IF(DAY(SepDom1)=1,IF(AND(YEAR(SepDom1+27)=AñoCalendario,MONTH(SepDom1+27)=9),SepDom1+27,""),IF(AND(YEAR(SepDom1+34)=AñoCalendario,MONTH(SepDom1+34)=9),SepDom1+34,""))</f>
        <v>45563</v>
      </c>
      <c r="I45" s="28">
        <f>IF(DAY(SepDom1)=1,IF(AND(YEAR(SepDom1+28)=AñoCalendario,MONTH(SepDom1+28)=9),SepDom1+28,""),IF(AND(YEAR(SepDom1+35)=AñoCalendario,MONTH(SepDom1+35)=9),SepDom1+35,""))</f>
        <v>45564</v>
      </c>
      <c r="K45" s="28">
        <f>IF(DAY(OctDom1)=1,IF(AND(YEAR(OctDom1+22)=AñoCalendario,MONTH(OctDom1+22)=10),OctDom1+22,""),IF(AND(YEAR(OctDom1+29)=AñoCalendario,MONTH(OctDom1+29)=10),OctDom1+29,""))</f>
        <v>45593</v>
      </c>
      <c r="L45" s="30">
        <f>IF(DAY(OctDom1)=1,IF(AND(YEAR(OctDom1+23)=AñoCalendario,MONTH(OctDom1+23)=10),OctDom1+23,""),IF(AND(YEAR(OctDom1+30)=AñoCalendario,MONTH(OctDom1+30)=10),OctDom1+30,""))</f>
        <v>45594</v>
      </c>
      <c r="M45" s="28">
        <f>IF(DAY(OctDom1)=1,IF(AND(YEAR(OctDom1+24)=AñoCalendario,MONTH(OctDom1+24)=10),OctDom1+24,""),IF(AND(YEAR(OctDom1+31)=AñoCalendario,MONTH(OctDom1+31)=10),OctDom1+31,""))</f>
        <v>45595</v>
      </c>
      <c r="N45" s="28">
        <f>IF(DAY(OctDom1)=1,IF(AND(YEAR(OctDom1+25)=AñoCalendario,MONTH(OctDom1+25)=10),OctDom1+25,""),IF(AND(YEAR(OctDom1+32)=AñoCalendario,MONTH(OctDom1+32)=10),OctDom1+32,""))</f>
        <v>45596</v>
      </c>
      <c r="O45" s="28" t="str">
        <f>IF(DAY(OctDom1)=1,IF(AND(YEAR(OctDom1+26)=AñoCalendario,MONTH(OctDom1+26)=10),OctDom1+26,""),IF(AND(YEAR(OctDom1+33)=AñoCalendario,MONTH(OctDom1+33)=10),OctDom1+33,""))</f>
        <v/>
      </c>
      <c r="P45" s="28" t="str">
        <f>IF(DAY(OctDom1)=1,IF(AND(YEAR(OctDom1+27)=AñoCalendario,MONTH(OctDom1+27)=10),OctDom1+27,""),IF(AND(YEAR(OctDom1+34)=AñoCalendario,MONTH(OctDom1+34)=10),OctDom1+34,""))</f>
        <v/>
      </c>
      <c r="Q45" s="28" t="str">
        <f>IF(DAY(OctDom1)=1,IF(AND(YEAR(OctDom1+28)=AñoCalendario,MONTH(OctDom1+28)=10),OctDom1+28,""),IF(AND(YEAR(OctDom1+35)=AñoCalendario,MONTH(OctDom1+35)=10),OctDom1+35,""))</f>
        <v/>
      </c>
      <c r="S45" s="3"/>
      <c r="U45" s="15"/>
      <c r="V45" s="52"/>
      <c r="W45" s="52"/>
    </row>
    <row r="46" spans="1:23" ht="15" customHeight="1" x14ac:dyDescent="0.15">
      <c r="A46" s="23"/>
      <c r="C46" s="28">
        <f>IF(DAY(SepDom1)=1,IF(AND(YEAR(SepDom1+29)=AñoCalendario,MONTH(SepDom1+29)=9),SepDom1+29,""),IF(AND(YEAR(SepDom1+36)=AñoCalendario,MONTH(SepDom1+36)=9),SepDom1+36,""))</f>
        <v>45565</v>
      </c>
      <c r="D46" s="28" t="str">
        <f>IF(DAY(SepDom1)=1,IF(AND(YEAR(SepDom1+30)=AñoCalendario,MONTH(SepDom1+30)=9),SepDom1+30,""),IF(AND(YEAR(SepDom1+37)=AñoCalendario,MONTH(SepDom1+37)=9),SepDom1+37,""))</f>
        <v/>
      </c>
      <c r="E46" s="28" t="str">
        <f>IF(DAY(SepDom1)=1,IF(AND(YEAR(SepDom1+31)=AñoCalendario,MONTH(SepDom1+31)=9),SepDom1+31,""),IF(AND(YEAR(SepDom1+38)=AñoCalendario,MONTH(SepDom1+38)=9),SepDom1+38,""))</f>
        <v/>
      </c>
      <c r="F46" s="28" t="str">
        <f>IF(DAY(SepDom1)=1,IF(AND(YEAR(SepDom1+32)=AñoCalendario,MONTH(SepDom1+32)=9),SepDom1+32,""),IF(AND(YEAR(SepDom1+39)=AñoCalendario,MONTH(SepDom1+39)=9),SepDom1+39,""))</f>
        <v/>
      </c>
      <c r="G46" s="28" t="str">
        <f>IF(DAY(SepDom1)=1,IF(AND(YEAR(SepDom1+33)=AñoCalendario,MONTH(SepDom1+33)=9),SepDom1+33,""),IF(AND(YEAR(SepDom1+40)=AñoCalendario,MONTH(SepDom1+40)=9),SepDom1+40,""))</f>
        <v/>
      </c>
      <c r="H46" s="28" t="str">
        <f>IF(DAY(SepDom1)=1,IF(AND(YEAR(SepDom1+34)=AñoCalendario,MONTH(SepDom1+34)=9),SepDom1+34,""),IF(AND(YEAR(SepDom1+41)=AñoCalendario,MONTH(SepDom1+41)=9),SepDom1+41,""))</f>
        <v/>
      </c>
      <c r="I46" s="28" t="str">
        <f>IF(DAY(SepDom1)=1,IF(AND(YEAR(SepDom1+35)=AñoCalendario,MONTH(SepDom1+35)=9),SepDom1+35,""),IF(AND(YEAR(SepDom1+42)=AñoCalendario,MONTH(SepDom1+42)=9),SepDom1+42,""))</f>
        <v/>
      </c>
      <c r="K46" s="28" t="str">
        <f>IF(DAY(OctDom1)=1,IF(AND(YEAR(OctDom1+29)=AñoCalendario,MONTH(OctDom1+29)=10),OctDom1+29,""),IF(AND(YEAR(OctDom1+36)=AñoCalendario,MONTH(OctDom1+36)=10),OctDom1+36,""))</f>
        <v/>
      </c>
      <c r="L46" s="28" t="str">
        <f>IF(DAY(OctDom1)=1,IF(AND(YEAR(OctDom1+30)=AñoCalendario,MONTH(OctDom1+30)=10),OctDom1+30,""),IF(AND(YEAR(OctDom1+37)=AñoCalendario,MONTH(OctDom1+37)=10),OctDom1+37,""))</f>
        <v/>
      </c>
      <c r="M46" s="28" t="str">
        <f>IF(DAY(OctDom1)=1,IF(AND(YEAR(OctDom1+31)=AñoCalendario,MONTH(OctDom1+31)=10),OctDom1+31,""),IF(AND(YEAR(OctDom1+38)=AñoCalendario,MONTH(OctDom1+38)=10),OctDom1+38,""))</f>
        <v/>
      </c>
      <c r="N46" s="28" t="str">
        <f>IF(DAY(OctDom1)=1,IF(AND(YEAR(OctDom1+32)=AñoCalendario,MONTH(OctDom1+32)=10),OctDom1+32,""),IF(AND(YEAR(OctDom1+39)=AñoCalendario,MONTH(OctDom1+39)=10),OctDom1+39,""))</f>
        <v/>
      </c>
      <c r="O46" s="28" t="str">
        <f>IF(DAY(OctDom1)=1,IF(AND(YEAR(OctDom1+33)=AñoCalendario,MONTH(OctDom1+33)=10),OctDom1+33,""),IF(AND(YEAR(OctDom1+40)=AñoCalendario,MONTH(OctDom1+40)=10),OctDom1+40,""))</f>
        <v/>
      </c>
      <c r="P46" s="28" t="str">
        <f>IF(DAY(OctDom1)=1,IF(AND(YEAR(OctDom1+34)=AñoCalendario,MONTH(OctDom1+34)=10),OctDom1+34,""),IF(AND(YEAR(OctDom1+41)=AñoCalendario,MONTH(OctDom1+41)=10),OctDom1+41,""))</f>
        <v/>
      </c>
      <c r="Q46" s="28" t="str">
        <f>IF(DAY(OctDom1)=1,IF(AND(YEAR(OctDom1+35)=AñoCalendario,MONTH(OctDom1+35)=10),OctDom1+35,""),IF(AND(YEAR(OctDom1+42)=AñoCalendario,MONTH(OctDom1+42)=10),OctDom1+42,""))</f>
        <v/>
      </c>
      <c r="S46" s="3"/>
      <c r="U46" s="15"/>
      <c r="V46" s="52"/>
      <c r="W46" s="52"/>
    </row>
    <row r="47" spans="1:23" ht="15" customHeight="1" x14ac:dyDescent="0.15">
      <c r="A47" s="23" t="s">
        <v>42</v>
      </c>
      <c r="S47" s="3"/>
      <c r="U47" s="15"/>
      <c r="V47" s="52"/>
      <c r="W47" s="52"/>
    </row>
    <row r="48" spans="1:23" ht="15" customHeight="1" x14ac:dyDescent="0.2">
      <c r="A48" s="23" t="s">
        <v>43</v>
      </c>
      <c r="C48" s="49" t="s">
        <v>13</v>
      </c>
      <c r="D48" s="49"/>
      <c r="E48" s="49"/>
      <c r="F48" s="49"/>
      <c r="G48" s="49"/>
      <c r="H48" s="49"/>
      <c r="I48" s="49"/>
      <c r="K48" s="49" t="s">
        <v>25</v>
      </c>
      <c r="L48" s="49"/>
      <c r="M48" s="49"/>
      <c r="N48" s="49"/>
      <c r="O48" s="49"/>
      <c r="P48" s="49"/>
      <c r="Q48" s="49"/>
      <c r="S48" s="3"/>
      <c r="U48" s="15"/>
      <c r="V48" s="52"/>
      <c r="W48" s="52"/>
    </row>
    <row r="49" spans="1:21" ht="15" customHeight="1" x14ac:dyDescent="0.15">
      <c r="A49" s="23" t="s">
        <v>44</v>
      </c>
      <c r="C49" s="16" t="s">
        <v>27</v>
      </c>
      <c r="D49" s="16" t="s">
        <v>14</v>
      </c>
      <c r="E49" s="16" t="s">
        <v>15</v>
      </c>
      <c r="F49" s="16" t="s">
        <v>16</v>
      </c>
      <c r="G49" s="16" t="s">
        <v>17</v>
      </c>
      <c r="H49" s="16" t="s">
        <v>18</v>
      </c>
      <c r="I49" s="16" t="s">
        <v>19</v>
      </c>
      <c r="J49" s="8"/>
      <c r="K49" s="16" t="s">
        <v>27</v>
      </c>
      <c r="L49" s="16" t="s">
        <v>14</v>
      </c>
      <c r="M49" s="16" t="s">
        <v>15</v>
      </c>
      <c r="N49" s="16" t="s">
        <v>16</v>
      </c>
      <c r="O49" s="16" t="s">
        <v>17</v>
      </c>
      <c r="P49" s="16" t="s">
        <v>18</v>
      </c>
      <c r="Q49" s="16" t="s">
        <v>19</v>
      </c>
      <c r="S49" s="3"/>
      <c r="U49" s="15"/>
    </row>
    <row r="50" spans="1:21" ht="15" customHeight="1" x14ac:dyDescent="0.15">
      <c r="A50" s="23"/>
      <c r="C50" s="28" t="str">
        <f>IF(DAY(NovDom1)=1,"",IF(AND(YEAR(NovDom1+1)=AñoCalendario,MONTH(NovDom1+1)=11),NovDom1+1,""))</f>
        <v/>
      </c>
      <c r="D50" s="28" t="str">
        <f>IF(DAY(NovDom1)=1,"",IF(AND(YEAR(NovDom1+2)=AñoCalendario,MONTH(NovDom1+2)=11),NovDom1+2,""))</f>
        <v/>
      </c>
      <c r="E50" s="28" t="str">
        <f>IF(DAY(NovDom1)=1,"",IF(AND(YEAR(NovDom1+3)=AñoCalendario,MONTH(NovDom1+3)=11),NovDom1+3,""))</f>
        <v/>
      </c>
      <c r="F50" s="28" t="str">
        <f>IF(DAY(NovDom1)=1,"",IF(AND(YEAR(NovDom1+4)=AñoCalendario,MONTH(NovDom1+4)=11),NovDom1+4,""))</f>
        <v/>
      </c>
      <c r="G50" s="28">
        <f>IF(DAY(NovDom1)=1,"",IF(AND(YEAR(NovDom1+5)=AñoCalendario,MONTH(NovDom1+5)=11),NovDom1+5,""))</f>
        <v>45597</v>
      </c>
      <c r="H50" s="28">
        <f>IF(DAY(NovDom1)=1,"",IF(AND(YEAR(NovDom1+6)=AñoCalendario,MONTH(NovDom1+6)=11),NovDom1+6,""))</f>
        <v>45598</v>
      </c>
      <c r="I50" s="28">
        <f>IF(DAY(NovDom1)=1,IF(AND(YEAR(NovDom1)=AñoCalendario,MONTH(NovDom1)=11),NovDom1,""),IF(AND(YEAR(NovDom1+7)=AñoCalendario,MONTH(NovDom1+7)=11),NovDom1+7,""))</f>
        <v>45599</v>
      </c>
      <c r="K50" s="28" t="str">
        <f>IF(DAY(DicDom1)=1,"",IF(AND(YEAR(DicDom1+1)=AñoCalendario,MONTH(DicDom1+1)=12),DicDom1+1,""))</f>
        <v/>
      </c>
      <c r="L50" s="28" t="str">
        <f>IF(DAY(DicDom1)=1,"",IF(AND(YEAR(DicDom1+2)=AñoCalendario,MONTH(DicDom1+2)=12),DicDom1+2,""))</f>
        <v/>
      </c>
      <c r="M50" s="28" t="str">
        <f>IF(DAY(DicDom1)=1,"",IF(AND(YEAR(DicDom1+3)=AñoCalendario,MONTH(DicDom1+3)=12),DicDom1+3,""))</f>
        <v/>
      </c>
      <c r="N50" s="28" t="str">
        <f>IF(DAY(DicDom1)=1,"",IF(AND(YEAR(DicDom1+4)=AñoCalendario,MONTH(DicDom1+4)=12),DicDom1+4,""))</f>
        <v/>
      </c>
      <c r="O50" s="28" t="str">
        <f>IF(DAY(DicDom1)=1,"",IF(AND(YEAR(DicDom1+5)=AñoCalendario,MONTH(DicDom1+5)=12),DicDom1+5,""))</f>
        <v/>
      </c>
      <c r="P50" s="28" t="str">
        <f>IF(DAY(DicDom1)=1,"",IF(AND(YEAR(DicDom1+6)=AñoCalendario,MONTH(DicDom1+6)=12),DicDom1+6,""))</f>
        <v/>
      </c>
      <c r="Q50" s="28">
        <f>IF(DAY(DicDom1)=1,IF(AND(YEAR(DicDom1)=AñoCalendario,MONTH(DicDom1)=12),DicDom1,""),IF(AND(YEAR(DicDom1+7)=AñoCalendario,MONTH(DicDom1+7)=12),DicDom1+7,""))</f>
        <v>45627</v>
      </c>
      <c r="S50" s="3"/>
      <c r="U50" s="5"/>
    </row>
    <row r="51" spans="1:21" ht="15" customHeight="1" x14ac:dyDescent="0.15">
      <c r="A51" s="23" t="s">
        <v>45</v>
      </c>
      <c r="C51" s="29">
        <f>IF(DAY(NovDom1)=1,IF(AND(YEAR(NovDom1+1)=AñoCalendario,MONTH(NovDom1+1)=11),NovDom1+1,""),IF(AND(YEAR(NovDom1+8)=AñoCalendario,MONTH(NovDom1+8)=11),NovDom1+8,""))</f>
        <v>45600</v>
      </c>
      <c r="D51" s="28">
        <f>IF(DAY(NovDom1)=1,IF(AND(YEAR(NovDom1+2)=AñoCalendario,MONTH(NovDom1+2)=11),NovDom1+2,""),IF(AND(YEAR(NovDom1+9)=AñoCalendario,MONTH(NovDom1+9)=11),NovDom1+9,""))</f>
        <v>45601</v>
      </c>
      <c r="E51" s="28">
        <f>IF(DAY(NovDom1)=1,IF(AND(YEAR(NovDom1+3)=AñoCalendario,MONTH(NovDom1+3)=11),NovDom1+3,""),IF(AND(YEAR(NovDom1+10)=AñoCalendario,MONTH(NovDom1+10)=11),NovDom1+10,""))</f>
        <v>45602</v>
      </c>
      <c r="F51" s="28">
        <f>IF(DAY(NovDom1)=1,IF(AND(YEAR(NovDom1+4)=AñoCalendario,MONTH(NovDom1+4)=11),NovDom1+4,""),IF(AND(YEAR(NovDom1+11)=AñoCalendario,MONTH(NovDom1+11)=11),NovDom1+11,""))</f>
        <v>45603</v>
      </c>
      <c r="G51" s="28">
        <f>IF(DAY(NovDom1)=1,IF(AND(YEAR(NovDom1+5)=AñoCalendario,MONTH(NovDom1+5)=11),NovDom1+5,""),IF(AND(YEAR(NovDom1+12)=AñoCalendario,MONTH(NovDom1+12)=11),NovDom1+12,""))</f>
        <v>45604</v>
      </c>
      <c r="H51" s="28">
        <f>IF(DAY(NovDom1)=1,IF(AND(YEAR(NovDom1+6)=AñoCalendario,MONTH(NovDom1+6)=11),NovDom1+6,""),IF(AND(YEAR(NovDom1+13)=AñoCalendario,MONTH(NovDom1+13)=11),NovDom1+13,""))</f>
        <v>45605</v>
      </c>
      <c r="I51" s="28">
        <f>IF(DAY(NovDom1)=1,IF(AND(YEAR(NovDom1+7)=AñoCalendario,MONTH(NovDom1+7)=11),NovDom1+7,""),IF(AND(YEAR(NovDom1+14)=AñoCalendario,MONTH(NovDom1+14)=11),NovDom1+14,""))</f>
        <v>45606</v>
      </c>
      <c r="K51" s="28">
        <f>IF(DAY(DicDom1)=1,IF(AND(YEAR(DicDom1+1)=AñoCalendario,MONTH(DicDom1+1)=12),DicDom1+1,""),IF(AND(YEAR(DicDom1+8)=AñoCalendario,MONTH(DicDom1+8)=12),DicDom1+8,""))</f>
        <v>45628</v>
      </c>
      <c r="L51" s="31">
        <f>IF(DAY(DicDom1)=1,IF(AND(YEAR(DicDom1+2)=AñoCalendario,MONTH(DicDom1+2)=12),DicDom1+2,""),IF(AND(YEAR(DicDom1+9)=AñoCalendario,MONTH(DicDom1+9)=12),DicDom1+9,""))</f>
        <v>45629</v>
      </c>
      <c r="M51" s="28">
        <f>IF(DAY(DicDom1)=1,IF(AND(YEAR(DicDom1+3)=AñoCalendario,MONTH(DicDom1+3)=12),DicDom1+3,""),IF(AND(YEAR(DicDom1+10)=AñoCalendario,MONTH(DicDom1+10)=12),DicDom1+10,""))</f>
        <v>45630</v>
      </c>
      <c r="N51" s="42">
        <f>IF(DAY(DicDom1)=1,IF(AND(YEAR(DicDom1+4)=AñoCalendario,MONTH(DicDom1+4)=12),DicDom1+4,""),IF(AND(YEAR(DicDom1+11)=AñoCalendario,MONTH(DicDom1+11)=12),DicDom1+11,""))</f>
        <v>45631</v>
      </c>
      <c r="O51" s="28">
        <f>IF(DAY(DicDom1)=1,IF(AND(YEAR(DicDom1+5)=AñoCalendario,MONTH(DicDom1+5)=12),DicDom1+5,""),IF(AND(YEAR(DicDom1+12)=AñoCalendario,MONTH(DicDom1+12)=12),DicDom1+12,""))</f>
        <v>45632</v>
      </c>
      <c r="P51" s="28">
        <f>IF(DAY(DicDom1)=1,IF(AND(YEAR(DicDom1+6)=AñoCalendario,MONTH(DicDom1+6)=12),DicDom1+6,""),IF(AND(YEAR(DicDom1+13)=AñoCalendario,MONTH(DicDom1+13)=12),DicDom1+13,""))</f>
        <v>45633</v>
      </c>
      <c r="Q51" s="29">
        <f>IF(DAY(DicDom1)=1,IF(AND(YEAR(DicDom1+7)=AñoCalendario,MONTH(DicDom1+7)=12),DicDom1+7,""),IF(AND(YEAR(DicDom1+14)=AñoCalendario,MONTH(DicDom1+14)=12),DicDom1+14,""))</f>
        <v>45634</v>
      </c>
      <c r="S51" s="3"/>
      <c r="U51" s="51"/>
    </row>
    <row r="52" spans="1:21" ht="15" customHeight="1" x14ac:dyDescent="0.15">
      <c r="C52" s="29">
        <f>IF(DAY(NovDom1)=1,IF(AND(YEAR(NovDom1+8)=AñoCalendario,MONTH(NovDom1+8)=11),NovDom1+8,""),IF(AND(YEAR(NovDom1+15)=AñoCalendario,MONTH(NovDom1+15)=11),NovDom1+15,""))</f>
        <v>45607</v>
      </c>
      <c r="D52" s="31">
        <f>IF(DAY(NovDom1)=1,IF(AND(YEAR(NovDom1+9)=AñoCalendario,MONTH(NovDom1+9)=11),NovDom1+9,""),IF(AND(YEAR(NovDom1+16)=AñoCalendario,MONTH(NovDom1+16)=11),NovDom1+16,""))</f>
        <v>45608</v>
      </c>
      <c r="E52" s="28">
        <f>IF(DAY(NovDom1)=1,IF(AND(YEAR(NovDom1+10)=AñoCalendario,MONTH(NovDom1+10)=11),NovDom1+10,""),IF(AND(YEAR(NovDom1+17)=AñoCalendario,MONTH(NovDom1+17)=11),NovDom1+17,""))</f>
        <v>45609</v>
      </c>
      <c r="F52" s="28">
        <f>IF(DAY(NovDom1)=1,IF(AND(YEAR(NovDom1+11)=AñoCalendario,MONTH(NovDom1+11)=11),NovDom1+11,""),IF(AND(YEAR(NovDom1+18)=AñoCalendario,MONTH(NovDom1+18)=11),NovDom1+18,""))</f>
        <v>45610</v>
      </c>
      <c r="G52" s="28">
        <f>IF(DAY(NovDom1)=1,IF(AND(YEAR(NovDom1+12)=AñoCalendario,MONTH(NovDom1+12)=11),NovDom1+12,""),IF(AND(YEAR(NovDom1+19)=AñoCalendario,MONTH(NovDom1+19)=11),NovDom1+19,""))</f>
        <v>45611</v>
      </c>
      <c r="H52" s="28">
        <f>IF(DAY(NovDom1)=1,IF(AND(YEAR(NovDom1+13)=AñoCalendario,MONTH(NovDom1+13)=11),NovDom1+13,""),IF(AND(YEAR(NovDom1+20)=AñoCalendario,MONTH(NovDom1+20)=11),NovDom1+20,""))</f>
        <v>45612</v>
      </c>
      <c r="I52" s="28">
        <f>IF(DAY(NovDom1)=1,IF(AND(YEAR(NovDom1+14)=AñoCalendario,MONTH(NovDom1+14)=11),NovDom1+14,""),IF(AND(YEAR(NovDom1+21)=AñoCalendario,MONTH(NovDom1+21)=11),NovDom1+21,""))</f>
        <v>45613</v>
      </c>
      <c r="K52" s="28">
        <f>IF(DAY(DicDom1)=1,IF(AND(YEAR(DicDom1+8)=AñoCalendario,MONTH(DicDom1+8)=12),DicDom1+8,""),IF(AND(YEAR(DicDom1+15)=AñoCalendario,MONTH(DicDom1+15)=12),DicDom1+15,""))</f>
        <v>45635</v>
      </c>
      <c r="L52" s="40">
        <f>IF(DAY(DicDom1)=1,IF(AND(YEAR(DicDom1+9)=AñoCalendario,MONTH(DicDom1+9)=12),DicDom1+9,""),IF(AND(YEAR(DicDom1+16)=AñoCalendario,MONTH(DicDom1+16)=12),DicDom1+16,""))</f>
        <v>45636</v>
      </c>
      <c r="M52" s="54">
        <f>IF(DAY(DicDom1)=1,IF(AND(YEAR(DicDom1+10)=AñoCalendario,MONTH(DicDom1+10)=12),DicDom1+10,""),IF(AND(YEAR(DicDom1+17)=AñoCalendario,MONTH(DicDom1+17)=12),DicDom1+17,""))</f>
        <v>45637</v>
      </c>
      <c r="N52" s="54">
        <f>IF(DAY(DicDom1)=1,IF(AND(YEAR(DicDom1+11)=AñoCalendario,MONTH(DicDom1+11)=12),DicDom1+11,""),IF(AND(YEAR(DicDom1+18)=AñoCalendario,MONTH(DicDom1+18)=12),DicDom1+18,""))</f>
        <v>45638</v>
      </c>
      <c r="O52" s="28">
        <f>IF(DAY(DicDom1)=1,IF(AND(YEAR(DicDom1+12)=AñoCalendario,MONTH(DicDom1+12)=12),DicDom1+12,""),IF(AND(YEAR(DicDom1+19)=AñoCalendario,MONTH(DicDom1+19)=12),DicDom1+19,""))</f>
        <v>45639</v>
      </c>
      <c r="P52" s="28">
        <f>IF(DAY(DicDom1)=1,IF(AND(YEAR(DicDom1+13)=AñoCalendario,MONTH(DicDom1+13)=12),DicDom1+13,""),IF(AND(YEAR(DicDom1+20)=AñoCalendario,MONTH(DicDom1+20)=12),DicDom1+20,""))</f>
        <v>45640</v>
      </c>
      <c r="Q52" s="28">
        <f>IF(DAY(DicDom1)=1,IF(AND(YEAR(DicDom1+14)=AñoCalendario,MONTH(DicDom1+14)=12),DicDom1+14,""),IF(AND(YEAR(DicDom1+21)=AñoCalendario,MONTH(DicDom1+21)=12),DicDom1+21,""))</f>
        <v>45641</v>
      </c>
      <c r="S52" s="3"/>
      <c r="U52" s="51"/>
    </row>
    <row r="53" spans="1:21" ht="15" customHeight="1" x14ac:dyDescent="0.15">
      <c r="C53" s="28">
        <f>IF(DAY(NovDom1)=1,IF(AND(YEAR(NovDom1+15)=AñoCalendario,MONTH(NovDom1+15)=11),NovDom1+15,""),IF(AND(YEAR(NovDom1+22)=AñoCalendario,MONTH(NovDom1+22)=11),NovDom1+22,""))</f>
        <v>45614</v>
      </c>
      <c r="D53" s="54">
        <f>IF(DAY(NovDom1)=1,IF(AND(YEAR(NovDom1+16)=AñoCalendario,MONTH(NovDom1+16)=11),NovDom1+16,""),IF(AND(YEAR(NovDom1+23)=AñoCalendario,MONTH(NovDom1+23)=11),NovDom1+23,""))</f>
        <v>45615</v>
      </c>
      <c r="E53" s="42">
        <f>IF(DAY(NovDom1)=1,IF(AND(YEAR(NovDom1+17)=AñoCalendario,MONTH(NovDom1+17)=11),NovDom1+17,""),IF(AND(YEAR(NovDom1+24)=AñoCalendario,MONTH(NovDom1+24)=11),NovDom1+24,""))</f>
        <v>45616</v>
      </c>
      <c r="F53" s="28">
        <f>IF(DAY(NovDom1)=1,IF(AND(YEAR(NovDom1+18)=AñoCalendario,MONTH(NovDom1+18)=11),NovDom1+18,""),IF(AND(YEAR(NovDom1+25)=AñoCalendario,MONTH(NovDom1+25)=11),NovDom1+25,""))</f>
        <v>45617</v>
      </c>
      <c r="G53" s="28">
        <f>IF(DAY(NovDom1)=1,IF(AND(YEAR(NovDom1+19)=AñoCalendario,MONTH(NovDom1+19)=11),NovDom1+19,""),IF(AND(YEAR(NovDom1+26)=AñoCalendario,MONTH(NovDom1+26)=11),NovDom1+26,""))</f>
        <v>45618</v>
      </c>
      <c r="H53" s="28">
        <f>IF(DAY(NovDom1)=1,IF(AND(YEAR(NovDom1+20)=AñoCalendario,MONTH(NovDom1+20)=11),NovDom1+20,""),IF(AND(YEAR(NovDom1+27)=AñoCalendario,MONTH(NovDom1+27)=11),NovDom1+27,""))</f>
        <v>45619</v>
      </c>
      <c r="I53" s="28">
        <f>IF(DAY(NovDom1)=1,IF(AND(YEAR(NovDom1+21)=AñoCalendario,MONTH(NovDom1+21)=11),NovDom1+21,""),IF(AND(YEAR(NovDom1+28)=AñoCalendario,MONTH(NovDom1+28)=11),NovDom1+28,""))</f>
        <v>45620</v>
      </c>
      <c r="K53" s="28">
        <f>IF(DAY(DicDom1)=1,IF(AND(YEAR(DicDom1+15)=AñoCalendario,MONTH(DicDom1+15)=12),DicDom1+15,""),IF(AND(YEAR(DicDom1+22)=AñoCalendario,MONTH(DicDom1+22)=12),DicDom1+22,""))</f>
        <v>45642</v>
      </c>
      <c r="L53" s="28">
        <f>IF(DAY(DicDom1)=1,IF(AND(YEAR(DicDom1+16)=AñoCalendario,MONTH(DicDom1+16)=12),DicDom1+16,""),IF(AND(YEAR(DicDom1+23)=AñoCalendario,MONTH(DicDom1+23)=12),DicDom1+23,""))</f>
        <v>45643</v>
      </c>
      <c r="M53" s="28">
        <f>IF(DAY(DicDom1)=1,IF(AND(YEAR(DicDom1+17)=AñoCalendario,MONTH(DicDom1+17)=12),DicDom1+17,""),IF(AND(YEAR(DicDom1+24)=AñoCalendario,MONTH(DicDom1+24)=12),DicDom1+24,""))</f>
        <v>45644</v>
      </c>
      <c r="N53" s="28">
        <f>IF(DAY(DicDom1)=1,IF(AND(YEAR(DicDom1+18)=AñoCalendario,MONTH(DicDom1+18)=12),DicDom1+18,""),IF(AND(YEAR(DicDom1+25)=AñoCalendario,MONTH(DicDom1+25)=12),DicDom1+25,""))</f>
        <v>45645</v>
      </c>
      <c r="O53" s="28">
        <f>IF(DAY(DicDom1)=1,IF(AND(YEAR(DicDom1+19)=AñoCalendario,MONTH(DicDom1+19)=12),DicDom1+19,""),IF(AND(YEAR(DicDom1+26)=AñoCalendario,MONTH(DicDom1+26)=12),DicDom1+26,""))</f>
        <v>45646</v>
      </c>
      <c r="P53" s="28">
        <f>IF(DAY(DicDom1)=1,IF(AND(YEAR(DicDom1+20)=AñoCalendario,MONTH(DicDom1+20)=12),DicDom1+20,""),IF(AND(YEAR(DicDom1+27)=AñoCalendario,MONTH(DicDom1+27)=12),DicDom1+27,""))</f>
        <v>45647</v>
      </c>
      <c r="Q53" s="28">
        <f>IF(DAY(DicDom1)=1,IF(AND(YEAR(DicDom1+21)=AñoCalendario,MONTH(DicDom1+21)=12),DicDom1+21,""),IF(AND(YEAR(DicDom1+28)=AñoCalendario,MONTH(DicDom1+28)=12),DicDom1+28,""))</f>
        <v>45648</v>
      </c>
      <c r="S53" s="3"/>
      <c r="U53" s="51"/>
    </row>
    <row r="54" spans="1:21" ht="15" customHeight="1" x14ac:dyDescent="0.15">
      <c r="C54" s="28">
        <f>IF(DAY(NovDom1)=1,IF(AND(YEAR(NovDom1+22)=AñoCalendario,MONTH(NovDom1+22)=11),NovDom1+22,""),IF(AND(YEAR(NovDom1+29)=AñoCalendario,MONTH(NovDom1+29)=11),NovDom1+29,""))</f>
        <v>45621</v>
      </c>
      <c r="D54" s="44">
        <f>IF(DAY(NovDom1)=1,IF(AND(YEAR(NovDom1+23)=AñoCalendario,MONTH(NovDom1+23)=11),NovDom1+23,""),IF(AND(YEAR(NovDom1+30)=AñoCalendario,MONTH(NovDom1+30)=11),NovDom1+30,""))</f>
        <v>45622</v>
      </c>
      <c r="E54" s="28">
        <f>IF(DAY(NovDom1)=1,IF(AND(YEAR(NovDom1+24)=AñoCalendario,MONTH(NovDom1+24)=11),NovDom1+24,""),IF(AND(YEAR(NovDom1+31)=AñoCalendario,MONTH(NovDom1+31)=11),NovDom1+31,""))</f>
        <v>45623</v>
      </c>
      <c r="F54" s="28">
        <f>IF(DAY(NovDom1)=1,IF(AND(YEAR(NovDom1+25)=AñoCalendario,MONTH(NovDom1+25)=11),NovDom1+25,""),IF(AND(YEAR(NovDom1+32)=AñoCalendario,MONTH(NovDom1+32)=11),NovDom1+32,""))</f>
        <v>45624</v>
      </c>
      <c r="G54" s="28">
        <f>IF(DAY(NovDom1)=1,IF(AND(YEAR(NovDom1+26)=AñoCalendario,MONTH(NovDom1+26)=11),NovDom1+26,""),IF(AND(YEAR(NovDom1+33)=AñoCalendario,MONTH(NovDom1+33)=11),NovDom1+33,""))</f>
        <v>45625</v>
      </c>
      <c r="H54" s="28">
        <f>IF(DAY(NovDom1)=1,IF(AND(YEAR(NovDom1+27)=AñoCalendario,MONTH(NovDom1+27)=11),NovDom1+27,""),IF(AND(YEAR(NovDom1+34)=AñoCalendario,MONTH(NovDom1+34)=11),NovDom1+34,""))</f>
        <v>45626</v>
      </c>
      <c r="I54" s="28" t="str">
        <f>IF(DAY(NovDom1)=1,IF(AND(YEAR(NovDom1+28)=AñoCalendario,MONTH(NovDom1+28)=11),NovDom1+28,""),IF(AND(YEAR(NovDom1+35)=AñoCalendario,MONTH(NovDom1+35)=11),NovDom1+35,""))</f>
        <v/>
      </c>
      <c r="K54" s="28">
        <f>IF(DAY(DicDom1)=1,IF(AND(YEAR(DicDom1+22)=AñoCalendario,MONTH(DicDom1+22)=12),DicDom1+22,""),IF(AND(YEAR(DicDom1+29)=AñoCalendario,MONTH(DicDom1+29)=12),DicDom1+29,""))</f>
        <v>45649</v>
      </c>
      <c r="L54" s="28">
        <f>IF(DAY(DicDom1)=1,IF(AND(YEAR(DicDom1+23)=AñoCalendario,MONTH(DicDom1+23)=12),DicDom1+23,""),IF(AND(YEAR(DicDom1+30)=AñoCalendario,MONTH(DicDom1+30)=12),DicDom1+30,""))</f>
        <v>45650</v>
      </c>
      <c r="M54" s="29">
        <f>IF(DAY(DicDom1)=1,IF(AND(YEAR(DicDom1+24)=AñoCalendario,MONTH(DicDom1+24)=12),DicDom1+24,""),IF(AND(YEAR(DicDom1+31)=AñoCalendario,MONTH(DicDom1+31)=12),DicDom1+31,""))</f>
        <v>45651</v>
      </c>
      <c r="N54" s="28">
        <f>IF(DAY(DicDom1)=1,IF(AND(YEAR(DicDom1+25)=AñoCalendario,MONTH(DicDom1+25)=12),DicDom1+25,""),IF(AND(YEAR(DicDom1+32)=AñoCalendario,MONTH(DicDom1+32)=12),DicDom1+32,""))</f>
        <v>45652</v>
      </c>
      <c r="O54" s="28">
        <f>IF(DAY(DicDom1)=1,IF(AND(YEAR(DicDom1+26)=AñoCalendario,MONTH(DicDom1+26)=12),DicDom1+26,""),IF(AND(YEAR(DicDom1+33)=AñoCalendario,MONTH(DicDom1+33)=12),DicDom1+33,""))</f>
        <v>45653</v>
      </c>
      <c r="P54" s="28">
        <f>IF(DAY(DicDom1)=1,IF(AND(YEAR(DicDom1+27)=AñoCalendario,MONTH(DicDom1+27)=12),DicDom1+27,""),IF(AND(YEAR(DicDom1+34)=AñoCalendario,MONTH(DicDom1+34)=12),DicDom1+34,""))</f>
        <v>45654</v>
      </c>
      <c r="Q54" s="28">
        <f>IF(DAY(DicDom1)=1,IF(AND(YEAR(DicDom1+28)=AñoCalendario,MONTH(DicDom1+28)=12),DicDom1+28,""),IF(AND(YEAR(DicDom1+35)=AñoCalendario,MONTH(DicDom1+35)=12),DicDom1+35,""))</f>
        <v>45655</v>
      </c>
      <c r="S54" s="3"/>
      <c r="U54" s="51"/>
    </row>
    <row r="55" spans="1:21" ht="15" customHeight="1" x14ac:dyDescent="0.15">
      <c r="C55" s="28" t="str">
        <f>IF(DAY(NovDom1)=1,IF(AND(YEAR(NovDom1+29)=AñoCalendario,MONTH(NovDom1+29)=11),NovDom1+29,""),IF(AND(YEAR(NovDom1+36)=AñoCalendario,MONTH(NovDom1+36)=11),NovDom1+36,""))</f>
        <v/>
      </c>
      <c r="D55" s="28" t="str">
        <f>IF(DAY(NovDom1)=1,IF(AND(YEAR(NovDom1+30)=AñoCalendario,MONTH(NovDom1+30)=11),NovDom1+30,""),IF(AND(YEAR(NovDom1+37)=AñoCalendario,MONTH(NovDom1+37)=11),NovDom1+37,""))</f>
        <v/>
      </c>
      <c r="E55" s="28" t="str">
        <f>IF(DAY(NovDom1)=1,IF(AND(YEAR(NovDom1+31)=AñoCalendario,MONTH(NovDom1+31)=11),NovDom1+31,""),IF(AND(YEAR(NovDom1+38)=AñoCalendario,MONTH(NovDom1+38)=11),NovDom1+38,""))</f>
        <v/>
      </c>
      <c r="F55" s="28" t="str">
        <f>IF(DAY(NovDom1)=1,IF(AND(YEAR(NovDom1+32)=AñoCalendario,MONTH(NovDom1+32)=11),NovDom1+32,""),IF(AND(YEAR(NovDom1+39)=AñoCalendario,MONTH(NovDom1+39)=11),NovDom1+39,""))</f>
        <v/>
      </c>
      <c r="G55" s="28" t="str">
        <f>IF(DAY(NovDom1)=1,IF(AND(YEAR(NovDom1+33)=AñoCalendario,MONTH(NovDom1+33)=11),NovDom1+33,""),IF(AND(YEAR(NovDom1+40)=AñoCalendario,MONTH(NovDom1+40)=11),NovDom1+40,""))</f>
        <v/>
      </c>
      <c r="H55" s="28" t="str">
        <f>IF(DAY(NovDom1)=1,IF(AND(YEAR(NovDom1+34)=AñoCalendario,MONTH(NovDom1+34)=11),NovDom1+34,""),IF(AND(YEAR(NovDom1+41)=AñoCalendario,MONTH(NovDom1+41)=11),NovDom1+41,""))</f>
        <v/>
      </c>
      <c r="I55" s="28" t="str">
        <f>IF(DAY(NovDom1)=1,IF(AND(YEAR(NovDom1+35)=AñoCalendario,MONTH(NovDom1+35)=11),NovDom1+35,""),IF(AND(YEAR(NovDom1+42)=AñoCalendario,MONTH(NovDom1+42)=11),NovDom1+42,""))</f>
        <v/>
      </c>
      <c r="K55" s="28">
        <f>IF(DAY(DicDom1)=1,IF(AND(YEAR(DicDom1+29)=AñoCalendario,MONTH(DicDom1+29)=12),DicDom1+29,""),IF(AND(YEAR(DicDom1+36)=AñoCalendario,MONTH(DicDom1+36)=12),DicDom1+36,""))</f>
        <v>45656</v>
      </c>
      <c r="L55" s="28">
        <f>IF(DAY(DicDom1)=1,IF(AND(YEAR(DicDom1+30)=AñoCalendario,MONTH(DicDom1+30)=12),DicDom1+30,""),IF(AND(YEAR(DicDom1+37)=AñoCalendario,MONTH(DicDom1+37)=12),DicDom1+37,""))</f>
        <v>45657</v>
      </c>
      <c r="M55" s="28" t="str">
        <f>IF(DAY(DicDom1)=1,IF(AND(YEAR(DicDom1+31)=AñoCalendario,MONTH(DicDom1+31)=12),DicDom1+31,""),IF(AND(YEAR(DicDom1+38)=AñoCalendario,MONTH(DicDom1+38)=12),DicDom1+38,""))</f>
        <v/>
      </c>
      <c r="N55" s="28" t="str">
        <f>IF(DAY(DicDom1)=1,IF(AND(YEAR(DicDom1+32)=AñoCalendario,MONTH(DicDom1+32)=12),DicDom1+32,""),IF(AND(YEAR(DicDom1+39)=AñoCalendario,MONTH(DicDom1+39)=12),DicDom1+39,""))</f>
        <v/>
      </c>
      <c r="O55" s="28" t="str">
        <f>IF(DAY(DicDom1)=1,IF(AND(YEAR(DicDom1+33)=AñoCalendario,MONTH(DicDom1+33)=12),DicDom1+33,""),IF(AND(YEAR(DicDom1+40)=AñoCalendario,MONTH(DicDom1+40)=12),DicDom1+40,""))</f>
        <v/>
      </c>
      <c r="P55" s="28" t="str">
        <f>IF(DAY(DicDom1)=1,IF(AND(YEAR(DicDom1+34)=AñoCalendario,MONTH(DicDom1+34)=12),DicDom1+34,""),IF(AND(YEAR(DicDom1+41)=AñoCalendario,MONTH(DicDom1+41)=12),DicDom1+41,""))</f>
        <v/>
      </c>
      <c r="Q55" s="28" t="str">
        <f>IF(DAY(DicDom1)=1,IF(AND(YEAR(DicDom1+35)=AñoCalendario,MONTH(DicDom1+35)=12),DicDom1+35,""),IF(AND(YEAR(DicDom1+42)=AñoCalendario,MONTH(DicDom1+42)=12),DicDom1+42,""))</f>
        <v/>
      </c>
      <c r="S55" s="3"/>
      <c r="U55" s="51"/>
    </row>
    <row r="56" spans="1:21" ht="15" customHeight="1" x14ac:dyDescent="0.15">
      <c r="U56" s="4"/>
    </row>
    <row r="57" spans="1:21" ht="15" customHeight="1" x14ac:dyDescent="0.15">
      <c r="U57" s="4"/>
    </row>
    <row r="58" spans="1:21" ht="15" customHeight="1" x14ac:dyDescent="0.15"/>
    <row r="59" spans="1:21" ht="15" customHeight="1" x14ac:dyDescent="0.15"/>
    <row r="60" spans="1:21" ht="15" customHeight="1" x14ac:dyDescent="0.15"/>
    <row r="61" spans="1:21" ht="15" customHeight="1" x14ac:dyDescent="0.15"/>
    <row r="62" spans="1:21" ht="15" customHeight="1" x14ac:dyDescent="0.15"/>
    <row r="63" spans="1:21" ht="15" customHeight="1" x14ac:dyDescent="0.15"/>
    <row r="64" spans="1:21" ht="15" customHeight="1" x14ac:dyDescent="0.15"/>
    <row r="65" ht="15" customHeight="1" x14ac:dyDescent="0.15"/>
    <row r="66" ht="15" customHeight="1" x14ac:dyDescent="0.15"/>
    <row r="67" ht="15" customHeight="1" x14ac:dyDescent="0.15"/>
    <row r="68" ht="15" customHeight="1" x14ac:dyDescent="0.15"/>
    <row r="69" ht="15" customHeight="1" x14ac:dyDescent="0.15"/>
  </sheetData>
  <mergeCells count="17">
    <mergeCell ref="V3:W48"/>
    <mergeCell ref="C12:I12"/>
    <mergeCell ref="K12:Q12"/>
    <mergeCell ref="C21:I21"/>
    <mergeCell ref="K21:Q21"/>
    <mergeCell ref="C30:I30"/>
    <mergeCell ref="K30:Q30"/>
    <mergeCell ref="U17:U20"/>
    <mergeCell ref="C1:F1"/>
    <mergeCell ref="B2:J2"/>
    <mergeCell ref="C3:I3"/>
    <mergeCell ref="K3:Q3"/>
    <mergeCell ref="U51:U55"/>
    <mergeCell ref="C39:I39"/>
    <mergeCell ref="K39:Q39"/>
    <mergeCell ref="C48:I48"/>
    <mergeCell ref="K48:Q48"/>
  </mergeCells>
  <phoneticPr fontId="6" type="noConversion"/>
  <dataValidations count="1">
    <dataValidation allowBlank="1" showInputMessage="1" showErrorMessage="1" errorTitle="Año no válido" error="Escribe un año entre 1900 y 9999 o use la barra de desplazamiento para buscar un año." sqref="C1" xr:uid="{00000000-0002-0000-0000-000000000000}"/>
  </dataValidations>
  <printOptions horizontalCentered="1" verticalCentered="1"/>
  <pageMargins left="0.5" right="0.5" top="0.5" bottom="0.5" header="0.3" footer="0.3"/>
  <pageSetup paperSize="9"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ontrol numérico">
              <controlPr defaultSize="0" print="0" autoPict="0" altText="Usa el botón del indicador giratorio para cambiar de año calendario o escribe el año en la celda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Props1.xml><?xml version="1.0" encoding="utf-8"?>
<ds:datastoreItem xmlns:ds="http://schemas.openxmlformats.org/officeDocument/2006/customXml" ds:itemID="{C27F2D61-ADF6-4246-BADB-73B6659F62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17FEF3-A1F6-486A-81AF-39FFDA234590}">
  <ds:schemaRefs>
    <ds:schemaRef ds:uri="http://schemas.microsoft.com/sharepoint/v3/contenttype/forms"/>
  </ds:schemaRefs>
</ds:datastoreItem>
</file>

<file path=customXml/itemProps3.xml><?xml version="1.0" encoding="utf-8"?>
<ds:datastoreItem xmlns:ds="http://schemas.openxmlformats.org/officeDocument/2006/customXml" ds:itemID="{7F8E2E68-F864-4C3B-AE5F-9C4B46C52E0C}">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emplate>TM16410228</Template>
  <TotalTime>0</TotalTime>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Inicio</vt:lpstr>
      <vt:lpstr>Calendario anual</vt:lpstr>
      <vt:lpstr>AñoCalendario</vt:lpstr>
      <vt:lpstr>'Calendario anual'!Área_de_impresión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2022-12-13T16:21:27Z</cp:lastPrinted>
  <dcterms:created xsi:type="dcterms:W3CDTF">2020-10-07T05:33:01Z</dcterms:created>
  <dcterms:modified xsi:type="dcterms:W3CDTF">2024-01-27T12:14:12Z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